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-30" windowWidth="29040" windowHeight="11115" tabRatio="906"/>
  </bookViews>
  <sheets>
    <sheet name="Calc of Regional Factor" sheetId="4" r:id="rId1"/>
    <sheet name="WAVG for TS, Cat., &amp; SS-Ref-PS" sheetId="1" r:id="rId2"/>
    <sheet name="AVG for FUNCTSPEC" sheetId="2" r:id="rId3"/>
    <sheet name="Calc of Exp Factors" sheetId="5" r:id="rId4"/>
    <sheet name="Combined MidPTS" sheetId="3" r:id="rId5"/>
    <sheet name="Examples of Salary Calculation" sheetId="10" r:id="rId6"/>
    <sheet name="Faculty Salary Structure " sheetId="6" r:id="rId7"/>
  </sheets>
  <calcPr calcId="145621"/>
</workbook>
</file>

<file path=xl/calcChain.xml><?xml version="1.0" encoding="utf-8"?>
<calcChain xmlns="http://schemas.openxmlformats.org/spreadsheetml/2006/main">
  <c r="H7" i="10" l="1"/>
  <c r="I7" i="10" s="1"/>
  <c r="L7" i="10" s="1"/>
  <c r="N7" i="10" s="1"/>
  <c r="P7" i="10" s="1"/>
  <c r="R7" i="10" s="1"/>
  <c r="E7" i="10"/>
  <c r="L6" i="10"/>
  <c r="N6" i="10" s="1"/>
  <c r="P6" i="10" s="1"/>
  <c r="R6" i="10" s="1"/>
  <c r="I6" i="10"/>
  <c r="E6" i="10"/>
  <c r="I5" i="10"/>
  <c r="L5" i="10" s="1"/>
  <c r="N5" i="10" s="1"/>
  <c r="P5" i="10" s="1"/>
  <c r="R5" i="10" s="1"/>
  <c r="H5" i="10"/>
  <c r="E5" i="10"/>
  <c r="I4" i="10"/>
  <c r="L4" i="10" s="1"/>
  <c r="N4" i="10" s="1"/>
  <c r="P4" i="10" s="1"/>
  <c r="R4" i="10" s="1"/>
  <c r="H4" i="10"/>
  <c r="E4" i="10"/>
  <c r="R3" i="10"/>
  <c r="S3" i="10" s="1"/>
  <c r="Y3" i="10" s="1"/>
  <c r="Z3" i="10" s="1"/>
  <c r="AA3" i="10" s="1"/>
  <c r="AC3" i="10" s="1"/>
  <c r="AE3" i="10" s="1"/>
  <c r="P3" i="10"/>
  <c r="N3" i="10"/>
  <c r="H3" i="10"/>
  <c r="I3" i="10" s="1"/>
  <c r="E3" i="10"/>
  <c r="AF3" i="10" l="1"/>
  <c r="AI3" i="10"/>
  <c r="S6" i="10"/>
  <c r="Y6" i="10" s="1"/>
  <c r="Z6" i="10"/>
  <c r="AA6" i="10" s="1"/>
  <c r="AC6" i="10" s="1"/>
  <c r="AE6" i="10" s="1"/>
  <c r="Z5" i="10"/>
  <c r="AA5" i="10" s="1"/>
  <c r="AC5" i="10" s="1"/>
  <c r="AE5" i="10" s="1"/>
  <c r="S5" i="10"/>
  <c r="Y5" i="10" s="1"/>
  <c r="S4" i="10"/>
  <c r="Y4" i="10" s="1"/>
  <c r="Z4" i="10" s="1"/>
  <c r="AA4" i="10" s="1"/>
  <c r="AC4" i="10" s="1"/>
  <c r="AE4" i="10" s="1"/>
  <c r="S7" i="10"/>
  <c r="Y7" i="10" s="1"/>
  <c r="Z7" i="10"/>
  <c r="AA7" i="10" s="1"/>
  <c r="AC7" i="10" s="1"/>
  <c r="AE7" i="10" s="1"/>
  <c r="AG3" i="10"/>
  <c r="B14" i="3"/>
  <c r="B12" i="3"/>
  <c r="B10" i="3"/>
  <c r="B8" i="3"/>
  <c r="C28" i="2"/>
  <c r="B15" i="3" s="1"/>
  <c r="C27" i="2"/>
  <c r="C26" i="2"/>
  <c r="B13" i="3" s="1"/>
  <c r="C25" i="2"/>
  <c r="C24" i="2"/>
  <c r="B11" i="3" s="1"/>
  <c r="C23" i="2"/>
  <c r="C22" i="2"/>
  <c r="B9" i="3" s="1"/>
  <c r="C21" i="2"/>
  <c r="C20" i="2"/>
  <c r="B7" i="3" s="1"/>
  <c r="AI6" i="10" l="1"/>
  <c r="AF6" i="10"/>
  <c r="AI7" i="10"/>
  <c r="AF7" i="10"/>
  <c r="AG7" i="10" s="1"/>
  <c r="AF4" i="10"/>
  <c r="AG4" i="10" s="1"/>
  <c r="AI4" i="10"/>
  <c r="AF5" i="10"/>
  <c r="AG5" i="10" s="1"/>
  <c r="AI5" i="10"/>
  <c r="F51" i="5" l="1"/>
  <c r="G51" i="5" s="1"/>
  <c r="H51" i="5" s="1"/>
  <c r="I51" i="5" s="1"/>
  <c r="J51" i="5" s="1"/>
  <c r="K51" i="5" s="1"/>
  <c r="K28" i="5"/>
  <c r="J28" i="5"/>
  <c r="I28" i="5"/>
  <c r="H28" i="5"/>
  <c r="G28" i="5"/>
  <c r="F28" i="5"/>
  <c r="E28" i="5"/>
  <c r="D28" i="5"/>
  <c r="C28" i="5"/>
  <c r="B28" i="5"/>
  <c r="K39" i="5"/>
  <c r="J39" i="5"/>
  <c r="I39" i="5"/>
  <c r="H39" i="5"/>
  <c r="G39" i="5"/>
  <c r="F39" i="5"/>
  <c r="E39" i="5"/>
  <c r="D39" i="5"/>
  <c r="C39" i="5"/>
  <c r="B39" i="5"/>
  <c r="K38" i="5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B19" i="6"/>
  <c r="J41" i="4"/>
  <c r="I41" i="4"/>
  <c r="H41" i="4"/>
  <c r="G41" i="4"/>
  <c r="F41" i="4"/>
  <c r="E41" i="4"/>
  <c r="D41" i="4"/>
  <c r="C41" i="4"/>
  <c r="B4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F55" i="4"/>
  <c r="E55" i="4"/>
  <c r="D55" i="4"/>
  <c r="C55" i="4"/>
  <c r="B55" i="4"/>
  <c r="J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M23" i="1"/>
  <c r="M22" i="1"/>
  <c r="M21" i="1"/>
  <c r="M20" i="1"/>
  <c r="M19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B44" i="5" l="1"/>
  <c r="L28" i="5"/>
  <c r="C62" i="4"/>
  <c r="E62" i="4"/>
  <c r="G62" i="4"/>
  <c r="I62" i="4"/>
  <c r="B13" i="6"/>
  <c r="E52" i="6" s="1"/>
  <c r="J52" i="6" s="1"/>
  <c r="C42" i="5"/>
  <c r="C48" i="5" s="1"/>
  <c r="E42" i="5"/>
  <c r="G42" i="5"/>
  <c r="G48" i="5" s="1"/>
  <c r="I42" i="5"/>
  <c r="K42" i="5"/>
  <c r="K48" i="5" s="1"/>
  <c r="B64" i="4"/>
  <c r="D62" i="4"/>
  <c r="D68" i="4" s="1"/>
  <c r="F62" i="4"/>
  <c r="H62" i="4"/>
  <c r="H68" i="4" s="1"/>
  <c r="J62" i="4"/>
  <c r="D42" i="5"/>
  <c r="F42" i="5"/>
  <c r="F48" i="5" s="1"/>
  <c r="H42" i="5"/>
  <c r="H48" i="5" s="1"/>
  <c r="J42" i="5"/>
  <c r="J48" i="5" s="1"/>
  <c r="F68" i="4"/>
  <c r="J68" i="4"/>
  <c r="D48" i="5"/>
  <c r="C68" i="4"/>
  <c r="E68" i="4"/>
  <c r="G68" i="4"/>
  <c r="I68" i="4"/>
  <c r="E48" i="5"/>
  <c r="I48" i="5"/>
  <c r="B62" i="4"/>
  <c r="B68" i="4" s="1"/>
  <c r="B42" i="5"/>
  <c r="B48" i="5" s="1"/>
  <c r="B15" i="6"/>
  <c r="E54" i="6" s="1"/>
  <c r="K54" i="6" s="1"/>
  <c r="B17" i="6"/>
  <c r="E56" i="6" s="1"/>
  <c r="C39" i="6" s="1"/>
  <c r="B14" i="6"/>
  <c r="E53" i="6" s="1"/>
  <c r="K53" i="6" s="1"/>
  <c r="B16" i="6"/>
  <c r="E55" i="6" s="1"/>
  <c r="K55" i="6" s="1"/>
  <c r="B18" i="6"/>
  <c r="E57" i="6" s="1"/>
  <c r="K57" i="6" s="1"/>
  <c r="B20" i="6"/>
  <c r="E58" i="6" s="1"/>
  <c r="F41" i="6" s="1"/>
  <c r="F52" i="6"/>
  <c r="I52" i="6"/>
  <c r="H72" i="6"/>
  <c r="H69" i="6"/>
  <c r="J35" i="6"/>
  <c r="J38" i="6"/>
  <c r="M27" i="1"/>
  <c r="M28" i="1"/>
  <c r="M29" i="1"/>
  <c r="M30" i="1"/>
  <c r="M31" i="1"/>
  <c r="D35" i="6" l="1"/>
  <c r="D69" i="6"/>
  <c r="E35" i="6"/>
  <c r="J55" i="6"/>
  <c r="B35" i="6"/>
  <c r="D72" i="6"/>
  <c r="K69" i="6"/>
  <c r="H52" i="6"/>
  <c r="H35" i="6"/>
  <c r="J69" i="6"/>
  <c r="F69" i="6"/>
  <c r="I56" i="6"/>
  <c r="I39" i="6"/>
  <c r="E69" i="6"/>
  <c r="H39" i="6"/>
  <c r="F35" i="6"/>
  <c r="J75" i="6"/>
  <c r="F75" i="6"/>
  <c r="D52" i="6"/>
  <c r="I35" i="6"/>
  <c r="F58" i="6"/>
  <c r="B38" i="6"/>
  <c r="H56" i="6"/>
  <c r="C38" i="6"/>
  <c r="I55" i="6"/>
  <c r="G52" i="6"/>
  <c r="K52" i="6"/>
  <c r="K35" i="6"/>
  <c r="G35" i="6"/>
  <c r="C35" i="6"/>
  <c r="I69" i="6"/>
  <c r="G69" i="6"/>
  <c r="C37" i="1"/>
  <c r="D37" i="1" s="1"/>
  <c r="B6" i="3" s="1"/>
  <c r="C36" i="1"/>
  <c r="D36" i="1" s="1"/>
  <c r="B5" i="3" s="1"/>
  <c r="D39" i="6"/>
  <c r="F38" i="6"/>
  <c r="J72" i="6"/>
  <c r="H75" i="6"/>
  <c r="F72" i="6"/>
  <c r="D75" i="6"/>
  <c r="D56" i="6"/>
  <c r="H55" i="6"/>
  <c r="D55" i="6"/>
  <c r="K38" i="6"/>
  <c r="G58" i="6"/>
  <c r="I36" i="6"/>
  <c r="D40" i="6"/>
  <c r="H36" i="6"/>
  <c r="K70" i="6"/>
  <c r="F55" i="6"/>
  <c r="B41" i="6"/>
  <c r="J39" i="6"/>
  <c r="F39" i="6"/>
  <c r="B39" i="6"/>
  <c r="H38" i="6"/>
  <c r="D38" i="6"/>
  <c r="J73" i="6"/>
  <c r="H73" i="6"/>
  <c r="F73" i="6"/>
  <c r="D73" i="6"/>
  <c r="F56" i="6"/>
  <c r="J56" i="6"/>
  <c r="G56" i="6"/>
  <c r="K56" i="6"/>
  <c r="K39" i="6"/>
  <c r="G39" i="6"/>
  <c r="G38" i="6"/>
  <c r="K73" i="6"/>
  <c r="I73" i="6"/>
  <c r="G73" i="6"/>
  <c r="E73" i="6"/>
  <c r="J58" i="6"/>
  <c r="K58" i="6"/>
  <c r="C41" i="6"/>
  <c r="E39" i="6"/>
  <c r="I38" i="6"/>
  <c r="E38" i="6"/>
  <c r="K72" i="6"/>
  <c r="K75" i="6"/>
  <c r="I72" i="6"/>
  <c r="I75" i="6"/>
  <c r="G72" i="6"/>
  <c r="G75" i="6"/>
  <c r="E72" i="6"/>
  <c r="E75" i="6"/>
  <c r="H58" i="6"/>
  <c r="D58" i="6"/>
  <c r="I58" i="6"/>
  <c r="G55" i="6"/>
  <c r="J57" i="6"/>
  <c r="C38" i="1"/>
  <c r="D38" i="1" s="1"/>
  <c r="K41" i="6"/>
  <c r="J53" i="6"/>
  <c r="F37" i="6"/>
  <c r="H74" i="6"/>
  <c r="F71" i="6"/>
  <c r="D70" i="6"/>
  <c r="H53" i="6"/>
  <c r="G40" i="6"/>
  <c r="G37" i="6"/>
  <c r="G74" i="6"/>
  <c r="E71" i="6"/>
  <c r="D54" i="6"/>
  <c r="G41" i="6"/>
  <c r="D53" i="6"/>
  <c r="H40" i="6"/>
  <c r="J37" i="6"/>
  <c r="B37" i="6"/>
  <c r="D36" i="6"/>
  <c r="J71" i="6"/>
  <c r="H70" i="6"/>
  <c r="D74" i="6"/>
  <c r="J54" i="6"/>
  <c r="K40" i="6"/>
  <c r="C40" i="6"/>
  <c r="K37" i="6"/>
  <c r="C37" i="6"/>
  <c r="E36" i="6"/>
  <c r="K74" i="6"/>
  <c r="I71" i="6"/>
  <c r="G70" i="6"/>
  <c r="F57" i="6"/>
  <c r="I57" i="6"/>
  <c r="I53" i="6"/>
  <c r="I54" i="6"/>
  <c r="H54" i="6"/>
  <c r="F53" i="6"/>
  <c r="D57" i="6"/>
  <c r="J40" i="6"/>
  <c r="F40" i="6"/>
  <c r="B40" i="6"/>
  <c r="H37" i="6"/>
  <c r="D37" i="6"/>
  <c r="J36" i="6"/>
  <c r="F36" i="6"/>
  <c r="B36" i="6"/>
  <c r="J70" i="6"/>
  <c r="J74" i="6"/>
  <c r="H71" i="6"/>
  <c r="F70" i="6"/>
  <c r="F74" i="6"/>
  <c r="D71" i="6"/>
  <c r="F54" i="6"/>
  <c r="I40" i="6"/>
  <c r="E40" i="6"/>
  <c r="I37" i="6"/>
  <c r="E37" i="6"/>
  <c r="K36" i="6"/>
  <c r="G36" i="6"/>
  <c r="C36" i="6"/>
  <c r="K71" i="6"/>
  <c r="I70" i="6"/>
  <c r="I74" i="6"/>
  <c r="G71" i="6"/>
  <c r="E70" i="6"/>
  <c r="E74" i="6"/>
  <c r="H57" i="6"/>
  <c r="G57" i="6"/>
  <c r="G53" i="6"/>
  <c r="G54" i="6"/>
  <c r="I41" i="6"/>
  <c r="E41" i="6"/>
  <c r="H41" i="6"/>
  <c r="D41" i="6"/>
  <c r="J41" i="6"/>
  <c r="B4" i="3" l="1"/>
  <c r="B8" i="6" s="1"/>
  <c r="E47" i="6" s="1"/>
  <c r="B9" i="6"/>
  <c r="E48" i="6" s="1"/>
  <c r="B11" i="6"/>
  <c r="E50" i="6" s="1"/>
  <c r="B12" i="6"/>
  <c r="E51" i="6" s="1"/>
  <c r="B10" i="6"/>
  <c r="E49" i="6" s="1"/>
  <c r="J64" i="6" l="1"/>
  <c r="E64" i="6"/>
  <c r="E30" i="6"/>
  <c r="G47" i="6"/>
  <c r="G64" i="6"/>
  <c r="G30" i="6"/>
  <c r="I47" i="6"/>
  <c r="F47" i="6"/>
  <c r="J47" i="6"/>
  <c r="D30" i="6"/>
  <c r="H30" i="6"/>
  <c r="D64" i="6"/>
  <c r="H64" i="6"/>
  <c r="I64" i="6"/>
  <c r="I30" i="6"/>
  <c r="K47" i="6"/>
  <c r="K64" i="6"/>
  <c r="K30" i="6"/>
  <c r="C30" i="6"/>
  <c r="D47" i="6"/>
  <c r="H47" i="6"/>
  <c r="B30" i="6"/>
  <c r="F30" i="6"/>
  <c r="J30" i="6"/>
  <c r="F64" i="6"/>
  <c r="B32" i="6"/>
  <c r="E32" i="6"/>
  <c r="D32" i="6"/>
  <c r="K66" i="6"/>
  <c r="D66" i="6"/>
  <c r="J49" i="6"/>
  <c r="H32" i="6"/>
  <c r="H66" i="6"/>
  <c r="I32" i="6"/>
  <c r="G66" i="6"/>
  <c r="F49" i="6"/>
  <c r="D49" i="6"/>
  <c r="F32" i="6"/>
  <c r="J66" i="6"/>
  <c r="G32" i="6"/>
  <c r="I66" i="6"/>
  <c r="K49" i="6"/>
  <c r="H49" i="6"/>
  <c r="I49" i="6"/>
  <c r="J32" i="6"/>
  <c r="F66" i="6"/>
  <c r="K32" i="6"/>
  <c r="C32" i="6"/>
  <c r="E66" i="6"/>
  <c r="G49" i="6"/>
  <c r="K51" i="6"/>
  <c r="G51" i="6"/>
  <c r="E68" i="6"/>
  <c r="G68" i="6"/>
  <c r="I68" i="6"/>
  <c r="C34" i="6"/>
  <c r="G34" i="6"/>
  <c r="K34" i="6"/>
  <c r="H51" i="6"/>
  <c r="D68" i="6"/>
  <c r="F68" i="6"/>
  <c r="H68" i="6"/>
  <c r="J68" i="6"/>
  <c r="B34" i="6"/>
  <c r="F34" i="6"/>
  <c r="J34" i="6"/>
  <c r="J51" i="6"/>
  <c r="I51" i="6"/>
  <c r="K68" i="6"/>
  <c r="E34" i="6"/>
  <c r="I34" i="6"/>
  <c r="D51" i="6"/>
  <c r="D34" i="6"/>
  <c r="H34" i="6"/>
  <c r="F51" i="6"/>
  <c r="J50" i="6"/>
  <c r="K67" i="6"/>
  <c r="E33" i="6"/>
  <c r="I33" i="6"/>
  <c r="I50" i="6"/>
  <c r="D50" i="6"/>
  <c r="D33" i="6"/>
  <c r="H33" i="6"/>
  <c r="H50" i="6"/>
  <c r="E67" i="6"/>
  <c r="G67" i="6"/>
  <c r="I67" i="6"/>
  <c r="C33" i="6"/>
  <c r="G33" i="6"/>
  <c r="K33" i="6"/>
  <c r="F50" i="6"/>
  <c r="K50" i="6"/>
  <c r="G50" i="6"/>
  <c r="D67" i="6"/>
  <c r="F67" i="6"/>
  <c r="H67" i="6"/>
  <c r="J67" i="6"/>
  <c r="B33" i="6"/>
  <c r="F33" i="6"/>
  <c r="J33" i="6"/>
  <c r="K48" i="6"/>
  <c r="D48" i="6"/>
  <c r="H48" i="6"/>
  <c r="D31" i="6"/>
  <c r="F65" i="6"/>
  <c r="G31" i="6"/>
  <c r="E65" i="6"/>
  <c r="J65" i="6"/>
  <c r="F48" i="6"/>
  <c r="C31" i="6"/>
  <c r="I65" i="6"/>
  <c r="F31" i="6"/>
  <c r="D65" i="6"/>
  <c r="I31" i="6"/>
  <c r="K65" i="6"/>
  <c r="G48" i="6"/>
  <c r="H31" i="6"/>
  <c r="K31" i="6"/>
  <c r="I48" i="6"/>
  <c r="J31" i="6"/>
  <c r="B31" i="6"/>
  <c r="H65" i="6"/>
  <c r="J48" i="6"/>
  <c r="E31" i="6"/>
  <c r="G65" i="6"/>
</calcChain>
</file>

<file path=xl/sharedStrings.xml><?xml version="1.0" encoding="utf-8"?>
<sst xmlns="http://schemas.openxmlformats.org/spreadsheetml/2006/main" count="479" uniqueCount="128">
  <si>
    <t>Reference</t>
  </si>
  <si>
    <t>Cataloger</t>
  </si>
  <si>
    <t xml:space="preserve"> </t>
  </si>
  <si>
    <t>Functional Specialist</t>
  </si>
  <si>
    <t>Subject Specialist</t>
  </si>
  <si>
    <t>Public services</t>
  </si>
  <si>
    <t>Technical services</t>
  </si>
  <si>
    <t>Mean</t>
  </si>
  <si>
    <t>N</t>
  </si>
  <si>
    <t>0 - 3 years</t>
  </si>
  <si>
    <t>4 - 7 years</t>
  </si>
  <si>
    <t>8 -11 years</t>
  </si>
  <si>
    <t>12-15 years</t>
  </si>
  <si>
    <t>16-19 years</t>
  </si>
  <si>
    <t>20-23 years</t>
  </si>
  <si>
    <t>24-27 years</t>
  </si>
  <si>
    <t>28-31 years</t>
  </si>
  <si>
    <t>32-35 years</t>
  </si>
  <si>
    <t>over 35 years</t>
  </si>
  <si>
    <t>Total</t>
  </si>
  <si>
    <t>WAVG</t>
  </si>
  <si>
    <t>Functional Specialist (no subgroup)</t>
  </si>
  <si>
    <t xml:space="preserve">            Archivists</t>
  </si>
  <si>
    <t xml:space="preserve">            Business Manager</t>
  </si>
  <si>
    <t xml:space="preserve">            Human Resources</t>
  </si>
  <si>
    <t xml:space="preserve">            IT, Systems</t>
  </si>
  <si>
    <t xml:space="preserve">            IT, Web Developer</t>
  </si>
  <si>
    <t xml:space="preserve">            IT, Programmer</t>
  </si>
  <si>
    <t xml:space="preserve">            Media Specialist</t>
  </si>
  <si>
    <t xml:space="preserve">            Preservation</t>
  </si>
  <si>
    <t>Subject Specialist/Reference</t>
  </si>
  <si>
    <t>Archivists</t>
  </si>
  <si>
    <t>Business Manager</t>
  </si>
  <si>
    <t>Human Resources</t>
  </si>
  <si>
    <t>IT, Systems</t>
  </si>
  <si>
    <t>IT, Web Developer</t>
  </si>
  <si>
    <t>IT, Programmer</t>
  </si>
  <si>
    <t>Media Specialist</t>
  </si>
  <si>
    <t>Preservation</t>
  </si>
  <si>
    <t>SA MidPt for Job Type</t>
  </si>
  <si>
    <t>New England</t>
  </si>
  <si>
    <t>Middle Atlantic</t>
  </si>
  <si>
    <t>East North Central</t>
  </si>
  <si>
    <t>West North Central</t>
  </si>
  <si>
    <t>South Atlantic</t>
  </si>
  <si>
    <t>East South Central</t>
  </si>
  <si>
    <t>West South Central</t>
  </si>
  <si>
    <t>Mountain</t>
  </si>
  <si>
    <t>Pacific</t>
  </si>
  <si>
    <t>Reference:  Over 14 years experience</t>
  </si>
  <si>
    <t xml:space="preserve">            10 to 14 years experience</t>
  </si>
  <si>
    <t xml:space="preserve">            5 to 9 years experience</t>
  </si>
  <si>
    <t xml:space="preserve">            Under 5 years experience</t>
  </si>
  <si>
    <t>Cataloging: Over 14 years experience</t>
  </si>
  <si>
    <t>Other:      Over 14 years experience</t>
  </si>
  <si>
    <t>Total Sal</t>
  </si>
  <si>
    <t>WAVG w/ Application of SA Factor (.9383)</t>
  </si>
  <si>
    <t>Mean w/ Application of SA Factor (.9383)</t>
  </si>
  <si>
    <t>Population WAVG</t>
  </si>
  <si>
    <t>Exp Band as a percentage of ALL US</t>
  </si>
  <si>
    <t>Normalization</t>
  </si>
  <si>
    <t>Associate UL</t>
  </si>
  <si>
    <t>UL</t>
  </si>
  <si>
    <t>Name</t>
  </si>
  <si>
    <t>ASO UNIV LIBRARIAN</t>
  </si>
  <si>
    <t>AST UNIV LIBRARIAN</t>
  </si>
  <si>
    <t>UNIV LIBRARIAN</t>
  </si>
  <si>
    <t>Stipend</t>
  </si>
  <si>
    <t>Job Class. Midpt.</t>
  </si>
  <si>
    <t>Yrs. Experience</t>
  </si>
  <si>
    <t>Y</t>
  </si>
  <si>
    <t>"Needs Improvement" Disqualification?</t>
  </si>
  <si>
    <t>% Increase</t>
  </si>
  <si>
    <t>INCREASE AMT</t>
  </si>
  <si>
    <t>Subject Specialist/Reference/Public Services</t>
  </si>
  <si>
    <t>Calculated Salary Increase</t>
  </si>
  <si>
    <t>Achieves (or Default) in Criteria 1 Disqualifier?</t>
  </si>
  <si>
    <t>Disqualified Amount</t>
  </si>
  <si>
    <t>Assistant UL</t>
  </si>
  <si>
    <t>Total Current Salary</t>
  </si>
  <si>
    <t>Salary Resulting from Application of FL Modifier</t>
  </si>
  <si>
    <t>Salary Resulting from Application of Exp. Mod.</t>
  </si>
  <si>
    <t>% of Increase</t>
  </si>
  <si>
    <t>Increase after Eliminating "Needs Improvement" Disqualifieds</t>
  </si>
  <si>
    <t>FINAL (Exc. Stipend)</t>
  </si>
  <si>
    <t>Current Salary (Exc. Stipend)</t>
  </si>
  <si>
    <t>Salary Resulting from Application of 2010 Merit Increase</t>
  </si>
  <si>
    <t>Archivists/Curator</t>
  </si>
  <si>
    <t>Rank</t>
  </si>
  <si>
    <t>Subject Specialist/ Reference/Public Services</t>
  </si>
  <si>
    <t>Final Salary (Including Stipend)</t>
  </si>
  <si>
    <t>Modifier for Exp &amp; Rank</t>
  </si>
  <si>
    <t>Faculty Salary Structure After Market Equity</t>
  </si>
  <si>
    <t>MidPoint</t>
  </si>
  <si>
    <t>Alpha, Cataloger</t>
  </si>
  <si>
    <t>Beta, SS/Ref/PS -- 10 %</t>
  </si>
  <si>
    <t>Delta, SS/Ref/PS -- 20 %</t>
  </si>
  <si>
    <t>Gamma, SS/Ref/PS</t>
  </si>
  <si>
    <t>2010 Merit Increase</t>
  </si>
  <si>
    <t>Epsilon, Technical Services</t>
  </si>
  <si>
    <t>YES</t>
  </si>
  <si>
    <t>AVERAGE SALARY BY POSITION AND YEARS OF EXPERIENCE - U.S. Only</t>
  </si>
  <si>
    <t>TABLE 26a at http://www.arl.org/bm~doc/tables2009-10.xls</t>
  </si>
  <si>
    <t>TABLE 26b at http://www.arl.org/bm~doc/tables2009-10.xls</t>
  </si>
  <si>
    <t>Table 26 at http://www.arl.org/bm~doc/ss09.pdf</t>
  </si>
  <si>
    <t>Caclulations/Interpretation</t>
  </si>
  <si>
    <t>FSPEC breakdown</t>
  </si>
  <si>
    <t>Figure 5: Distribution of Functional Specialist Job Sub-Codes’ Average Salaries by Sex at http://www.arl.org/bm~doc/ss09.pdf</t>
  </si>
  <si>
    <t>"fspec_sal" at http://www.arl.org/bm~doc/tables2009-10.xls</t>
  </si>
  <si>
    <t>AVERAGE SALARIES BY REGION</t>
  </si>
  <si>
    <t xml:space="preserve">AVERAGE SALARY BY POSITION AND YEARS OF EXPERIENCE </t>
  </si>
  <si>
    <t>TABLE 20b at http://www.arl.org/bm~doc/tables2009-10.xls</t>
  </si>
  <si>
    <t>TABLE 20a at http://www.arl.org/bm~doc/tables2009-10.xls</t>
  </si>
  <si>
    <t>Table 20: Average Salaries of ARL University Librarians
by Position and Years of Experience at http://www.arl.org/bm~doc/ss09.pdf</t>
  </si>
  <si>
    <t>TABLE 25a at http://www.arl.org/bm~doc/tables2009-10.xls</t>
  </si>
  <si>
    <t>Table 25 at http://www.arl.org/bm~doc/ss09.pdf</t>
  </si>
  <si>
    <t>Foreign Language (FL) Req.</t>
  </si>
  <si>
    <t>Total Education Credit</t>
  </si>
  <si>
    <t>Salary Resulting from Application of Education</t>
  </si>
  <si>
    <t>Achieves in Criteria 1 Adj --- Increase based on no more than below %</t>
  </si>
  <si>
    <t>No Increase more than below %</t>
  </si>
  <si>
    <t>Average Salaries</t>
  </si>
  <si>
    <t>Number of Salary Figures</t>
  </si>
  <si>
    <t>Results</t>
  </si>
  <si>
    <t>Combined Midpoints</t>
  </si>
  <si>
    <t>Examples of Salary Calculations</t>
  </si>
  <si>
    <t>ALL US AVG</t>
  </si>
  <si>
    <t>Region as a percentage of ALL US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</si>
</sst>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;\-0;;@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Palatino"/>
      <family val="1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 wrapText="1"/>
    </xf>
    <xf numFmtId="9" fontId="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3" borderId="0" xfId="0" applyNumberFormat="1" applyFont="1" applyFill="1" applyAlignment="1">
      <alignment horizontal="center"/>
    </xf>
    <xf numFmtId="2" fontId="0" fillId="0" borderId="0" xfId="0" applyNumberFormat="1" applyFont="1"/>
    <xf numFmtId="0" fontId="0" fillId="0" borderId="0" xfId="0" applyFont="1" applyFill="1" applyAlignment="1">
      <alignment horizontal="center"/>
    </xf>
    <xf numFmtId="0" fontId="5" fillId="0" borderId="0" xfId="9" applyFont="1"/>
    <xf numFmtId="164" fontId="5" fillId="0" borderId="0" xfId="1" applyNumberFormat="1" applyFont="1" applyAlignment="1">
      <alignment horizontal="center"/>
    </xf>
    <xf numFmtId="0" fontId="5" fillId="0" borderId="0" xfId="2" applyFont="1"/>
    <xf numFmtId="0" fontId="5" fillId="0" borderId="0" xfId="8" applyFont="1"/>
    <xf numFmtId="0" fontId="5" fillId="3" borderId="0" xfId="8" applyFont="1" applyFill="1"/>
    <xf numFmtId="0" fontId="6" fillId="0" borderId="0" xfId="8" applyFont="1" applyFill="1"/>
    <xf numFmtId="164" fontId="6" fillId="0" borderId="0" xfId="1" applyNumberFormat="1" applyFont="1" applyAlignment="1">
      <alignment horizontal="center"/>
    </xf>
    <xf numFmtId="2" fontId="6" fillId="0" borderId="0" xfId="1" applyNumberFormat="1" applyFont="1" applyFill="1" applyAlignment="1">
      <alignment horizontal="center"/>
    </xf>
    <xf numFmtId="37" fontId="0" fillId="0" borderId="0" xfId="0" applyNumberFormat="1" applyFont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37" fontId="1" fillId="0" borderId="0" xfId="1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5" fillId="0" borderId="0" xfId="1" applyNumberFormat="1" applyFont="1"/>
    <xf numFmtId="164" fontId="5" fillId="0" borderId="0" xfId="1" applyNumberFormat="1" applyFont="1" applyAlignment="1">
      <alignment horizontal="center" wrapText="1"/>
    </xf>
    <xf numFmtId="0" fontId="5" fillId="0" borderId="0" xfId="2" applyFont="1" applyAlignment="1">
      <alignment horizontal="center"/>
    </xf>
    <xf numFmtId="0" fontId="5" fillId="0" borderId="0" xfId="2" applyFont="1" applyAlignment="1">
      <alignment wrapText="1"/>
    </xf>
    <xf numFmtId="164" fontId="6" fillId="0" borderId="0" xfId="1" applyNumberFormat="1" applyFont="1" applyAlignment="1">
      <alignment horizontal="center" wrapText="1"/>
    </xf>
    <xf numFmtId="3" fontId="5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center"/>
    </xf>
    <xf numFmtId="3" fontId="5" fillId="0" borderId="0" xfId="8" applyNumberFormat="1" applyFont="1" applyAlignment="1">
      <alignment horizontal="center"/>
    </xf>
    <xf numFmtId="3" fontId="1" fillId="0" borderId="0" xfId="0" applyNumberFormat="1" applyFont="1"/>
    <xf numFmtId="164" fontId="5" fillId="0" borderId="0" xfId="1" applyNumberFormat="1" applyFont="1" applyAlignment="1">
      <alignment wrapText="1"/>
    </xf>
    <xf numFmtId="0" fontId="5" fillId="0" borderId="0" xfId="5" applyFont="1" applyAlignment="1">
      <alignment vertical="top"/>
    </xf>
    <xf numFmtId="3" fontId="5" fillId="0" borderId="0" xfId="1" applyNumberFormat="1" applyFont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3" fontId="5" fillId="0" borderId="0" xfId="1" applyNumberFormat="1" applyFont="1" applyAlignment="1">
      <alignment horizontal="right" vertical="top"/>
    </xf>
    <xf numFmtId="0" fontId="5" fillId="0" borderId="0" xfId="7" applyFont="1"/>
    <xf numFmtId="0" fontId="5" fillId="0" borderId="0" xfId="5" applyNumberFormat="1" applyFont="1" applyAlignment="1">
      <alignment horizontal="center" vertical="top"/>
    </xf>
    <xf numFmtId="0" fontId="6" fillId="0" borderId="0" xfId="5" applyNumberFormat="1" applyFont="1" applyAlignment="1">
      <alignment horizontal="center" vertical="top"/>
    </xf>
    <xf numFmtId="0" fontId="5" fillId="0" borderId="0" xfId="5" applyNumberFormat="1" applyFont="1" applyAlignment="1">
      <alignment vertical="top"/>
    </xf>
    <xf numFmtId="3" fontId="5" fillId="0" borderId="0" xfId="5" applyNumberFormat="1" applyFont="1" applyAlignment="1">
      <alignment vertical="top"/>
    </xf>
    <xf numFmtId="3" fontId="5" fillId="0" borderId="0" xfId="5" applyNumberFormat="1" applyFont="1" applyAlignment="1">
      <alignment horizontal="center" vertical="top"/>
    </xf>
    <xf numFmtId="3" fontId="6" fillId="0" borderId="0" xfId="5" applyNumberFormat="1" applyFont="1" applyAlignment="1">
      <alignment horizontal="center" vertical="top"/>
    </xf>
    <xf numFmtId="0" fontId="5" fillId="0" borderId="0" xfId="5" applyFont="1" applyFill="1" applyAlignment="1">
      <alignment vertical="top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4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9" applyFont="1" applyFill="1"/>
    <xf numFmtId="3" fontId="0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64" fontId="6" fillId="0" borderId="0" xfId="1" applyNumberFormat="1" applyFont="1" applyFill="1" applyAlignment="1">
      <alignment horizontal="center" wrapText="1"/>
    </xf>
    <xf numFmtId="2" fontId="0" fillId="0" borderId="0" xfId="0" applyNumberFormat="1" applyFont="1" applyAlignment="1">
      <alignment wrapText="1"/>
    </xf>
    <xf numFmtId="2" fontId="6" fillId="0" borderId="0" xfId="1" applyNumberFormat="1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164" fontId="6" fillId="0" borderId="2" xfId="1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3" fontId="1" fillId="0" borderId="2" xfId="11" applyNumberFormat="1" applyFont="1" applyFill="1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2" borderId="0" xfId="2" applyFont="1" applyFill="1" applyAlignment="1">
      <alignment wrapText="1"/>
    </xf>
    <xf numFmtId="0" fontId="5" fillId="0" borderId="0" xfId="8" applyFont="1" applyAlignment="1">
      <alignment wrapText="1"/>
    </xf>
    <xf numFmtId="0" fontId="0" fillId="0" borderId="0" xfId="0" applyAlignment="1">
      <alignment wrapText="1"/>
    </xf>
    <xf numFmtId="164" fontId="6" fillId="0" borderId="3" xfId="1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164" fontId="6" fillId="0" borderId="5" xfId="1" applyNumberFormat="1" applyFont="1" applyBorder="1" applyAlignment="1">
      <alignment horizontal="center" wrapText="1"/>
    </xf>
    <xf numFmtId="2" fontId="2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3" fontId="0" fillId="0" borderId="2" xfId="0" applyNumberForma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3" fontId="0" fillId="5" borderId="2" xfId="0" applyNumberFormat="1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3" fontId="0" fillId="7" borderId="2" xfId="0" applyNumberFormat="1" applyFont="1" applyFill="1" applyBorder="1" applyAlignment="1">
      <alignment horizontal="center" vertical="center"/>
    </xf>
    <xf numFmtId="3" fontId="0" fillId="7" borderId="2" xfId="0" applyNumberFormat="1" applyFont="1" applyFill="1" applyBorder="1" applyAlignment="1">
      <alignment horizontal="center" vertical="center" wrapText="1"/>
    </xf>
    <xf numFmtId="49" fontId="0" fillId="7" borderId="2" xfId="0" applyNumberFormat="1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/>
    </xf>
    <xf numFmtId="2" fontId="0" fillId="7" borderId="2" xfId="0" applyNumberFormat="1" applyFont="1" applyFill="1" applyBorder="1" applyAlignment="1">
      <alignment horizontal="center" vertical="center" wrapText="1"/>
    </xf>
    <xf numFmtId="3" fontId="1" fillId="7" borderId="2" xfId="11" applyNumberFormat="1" applyFont="1" applyFill="1" applyBorder="1" applyAlignment="1">
      <alignment horizontal="center" vertical="center"/>
    </xf>
    <xf numFmtId="9" fontId="0" fillId="7" borderId="2" xfId="0" applyNumberFormat="1" applyFont="1" applyFill="1" applyBorder="1" applyAlignment="1">
      <alignment horizontal="center" vertical="center" wrapText="1"/>
    </xf>
    <xf numFmtId="166" fontId="0" fillId="7" borderId="2" xfId="0" applyNumberFormat="1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/>
    </xf>
    <xf numFmtId="3" fontId="0" fillId="8" borderId="2" xfId="0" applyNumberFormat="1" applyFont="1" applyFill="1" applyBorder="1" applyAlignment="1">
      <alignment horizontal="center" vertical="center"/>
    </xf>
    <xf numFmtId="3" fontId="0" fillId="8" borderId="2" xfId="0" applyNumberFormat="1" applyFont="1" applyFill="1" applyBorder="1" applyAlignment="1">
      <alignment horizontal="center" vertical="center" wrapText="1"/>
    </xf>
    <xf numFmtId="49" fontId="0" fillId="8" borderId="2" xfId="0" applyNumberFormat="1" applyFont="1" applyFill="1" applyBorder="1" applyAlignment="1">
      <alignment horizontal="center" vertical="center" wrapText="1"/>
    </xf>
    <xf numFmtId="2" fontId="0" fillId="8" borderId="2" xfId="0" applyNumberFormat="1" applyFont="1" applyFill="1" applyBorder="1" applyAlignment="1">
      <alignment horizontal="center" vertical="center" wrapText="1"/>
    </xf>
    <xf numFmtId="3" fontId="5" fillId="8" borderId="2" xfId="0" applyNumberFormat="1" applyFont="1" applyFill="1" applyBorder="1" applyAlignment="1">
      <alignment horizontal="center" vertical="center" wrapText="1"/>
    </xf>
    <xf numFmtId="9" fontId="0" fillId="8" borderId="2" xfId="0" applyNumberFormat="1" applyFont="1" applyFill="1" applyBorder="1" applyAlignment="1">
      <alignment horizontal="center" vertical="center" wrapText="1"/>
    </xf>
    <xf numFmtId="166" fontId="0" fillId="8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3" fontId="0" fillId="6" borderId="2" xfId="0" applyNumberFormat="1" applyFont="1" applyFill="1" applyBorder="1" applyAlignment="1">
      <alignment horizontal="center" vertical="center"/>
    </xf>
    <xf numFmtId="3" fontId="0" fillId="6" borderId="2" xfId="0" applyNumberFormat="1" applyFont="1" applyFill="1" applyBorder="1" applyAlignment="1">
      <alignment horizontal="center" vertical="center" wrapText="1"/>
    </xf>
    <xf numFmtId="49" fontId="0" fillId="6" borderId="2" xfId="0" applyNumberForma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2" fontId="0" fillId="6" borderId="2" xfId="0" applyNumberFormat="1" applyFont="1" applyFill="1" applyBorder="1" applyAlignment="1">
      <alignment horizontal="center" vertical="center" wrapText="1"/>
    </xf>
    <xf numFmtId="3" fontId="1" fillId="6" borderId="2" xfId="11" applyNumberFormat="1" applyFont="1" applyFill="1" applyBorder="1" applyAlignment="1">
      <alignment horizontal="center" vertical="center"/>
    </xf>
    <xf numFmtId="9" fontId="0" fillId="6" borderId="2" xfId="0" applyNumberFormat="1" applyFont="1" applyFill="1" applyBorder="1" applyAlignment="1">
      <alignment horizontal="center" vertical="center" wrapText="1"/>
    </xf>
    <xf numFmtId="166" fontId="0" fillId="6" borderId="2" xfId="0" applyNumberFormat="1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/>
    </xf>
    <xf numFmtId="164" fontId="5" fillId="4" borderId="0" xfId="1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164" fontId="7" fillId="0" borderId="0" xfId="1" applyNumberFormat="1" applyFont="1"/>
    <xf numFmtId="0" fontId="0" fillId="9" borderId="2" xfId="0" applyFont="1" applyFill="1" applyBorder="1" applyAlignment="1">
      <alignment vertical="center"/>
    </xf>
    <xf numFmtId="0" fontId="0" fillId="9" borderId="2" xfId="0" applyFill="1" applyBorder="1" applyAlignment="1">
      <alignment vertical="center"/>
    </xf>
    <xf numFmtId="0" fontId="6" fillId="9" borderId="2" xfId="0" applyFont="1" applyFill="1" applyBorder="1" applyAlignment="1">
      <alignment horizontal="center" vertical="center" wrapText="1"/>
    </xf>
    <xf numFmtId="10" fontId="6" fillId="9" borderId="2" xfId="0" applyNumberFormat="1" applyFont="1" applyFill="1" applyBorder="1" applyAlignment="1">
      <alignment horizontal="center" vertical="center" wrapText="1"/>
    </xf>
    <xf numFmtId="3" fontId="6" fillId="9" borderId="2" xfId="0" applyNumberFormat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2" fontId="6" fillId="10" borderId="2" xfId="0" applyNumberFormat="1" applyFont="1" applyFill="1" applyBorder="1" applyAlignment="1">
      <alignment horizontal="center" vertical="center" wrapText="1"/>
    </xf>
    <xf numFmtId="3" fontId="6" fillId="10" borderId="2" xfId="0" applyNumberFormat="1" applyFont="1" applyFill="1" applyBorder="1" applyAlignment="1">
      <alignment horizontal="center" vertical="center" wrapText="1"/>
    </xf>
    <xf numFmtId="49" fontId="2" fillId="10" borderId="2" xfId="0" applyNumberFormat="1" applyFont="1" applyFill="1" applyBorder="1" applyAlignment="1">
      <alignment horizontal="center" vertical="center" wrapText="1"/>
    </xf>
    <xf numFmtId="164" fontId="8" fillId="0" borderId="0" xfId="1" applyNumberFormat="1" applyFont="1"/>
    <xf numFmtId="0" fontId="8" fillId="0" borderId="0" xfId="2" applyFont="1"/>
    <xf numFmtId="0" fontId="8" fillId="4" borderId="0" xfId="2" applyFont="1" applyFill="1"/>
    <xf numFmtId="0" fontId="8" fillId="9" borderId="0" xfId="2" applyFont="1" applyFill="1"/>
    <xf numFmtId="0" fontId="1" fillId="9" borderId="0" xfId="0" applyFont="1" applyFill="1" applyAlignment="1">
      <alignment horizontal="center"/>
    </xf>
    <xf numFmtId="0" fontId="1" fillId="9" borderId="0" xfId="0" applyFont="1" applyFill="1"/>
    <xf numFmtId="0" fontId="2" fillId="9" borderId="0" xfId="0" applyFont="1" applyFill="1" applyAlignment="1">
      <alignment horizontal="center" wrapText="1"/>
    </xf>
    <xf numFmtId="164" fontId="6" fillId="9" borderId="0" xfId="1" applyNumberFormat="1" applyFont="1" applyFill="1" applyAlignment="1">
      <alignment horizontal="center" wrapText="1"/>
    </xf>
    <xf numFmtId="0" fontId="5" fillId="9" borderId="0" xfId="2" applyFont="1" applyFill="1"/>
    <xf numFmtId="37" fontId="5" fillId="9" borderId="0" xfId="2" applyNumberFormat="1" applyFont="1" applyFill="1" applyAlignment="1">
      <alignment horizontal="center"/>
    </xf>
    <xf numFmtId="3" fontId="1" fillId="9" borderId="0" xfId="0" applyNumberFormat="1" applyFont="1" applyFill="1" applyAlignment="1">
      <alignment horizontal="center"/>
    </xf>
    <xf numFmtId="37" fontId="5" fillId="9" borderId="0" xfId="1" applyNumberFormat="1" applyFont="1" applyFill="1" applyAlignment="1">
      <alignment horizontal="center"/>
    </xf>
    <xf numFmtId="0" fontId="5" fillId="9" borderId="0" xfId="2" applyFont="1" applyFill="1" applyAlignment="1">
      <alignment horizontal="center"/>
    </xf>
    <xf numFmtId="0" fontId="7" fillId="0" borderId="0" xfId="8" applyFont="1"/>
    <xf numFmtId="0" fontId="2" fillId="9" borderId="0" xfId="0" applyFont="1" applyFill="1" applyAlignment="1">
      <alignment horizontal="center"/>
    </xf>
    <xf numFmtId="0" fontId="0" fillId="9" borderId="0" xfId="0" applyFont="1" applyFill="1"/>
    <xf numFmtId="165" fontId="0" fillId="9" borderId="0" xfId="0" applyNumberFormat="1" applyFont="1" applyFill="1" applyAlignment="1">
      <alignment horizontal="center"/>
    </xf>
    <xf numFmtId="165" fontId="2" fillId="9" borderId="1" xfId="0" applyNumberFormat="1" applyFont="1" applyFill="1" applyBorder="1" applyAlignment="1">
      <alignment horizontal="center"/>
    </xf>
    <xf numFmtId="0" fontId="7" fillId="0" borderId="0" xfId="9" applyFont="1"/>
    <xf numFmtId="43" fontId="1" fillId="9" borderId="0" xfId="0" applyNumberFormat="1" applyFont="1" applyFill="1" applyAlignment="1">
      <alignment horizontal="center"/>
    </xf>
    <xf numFmtId="2" fontId="1" fillId="9" borderId="0" xfId="0" applyNumberFormat="1" applyFont="1" applyFill="1" applyAlignment="1">
      <alignment horizontal="center"/>
    </xf>
    <xf numFmtId="0" fontId="2" fillId="9" borderId="9" xfId="0" applyFont="1" applyFill="1" applyBorder="1"/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9" fillId="0" borderId="0" xfId="0" applyFont="1"/>
    <xf numFmtId="0" fontId="9" fillId="0" borderId="2" xfId="0" applyFont="1" applyFill="1" applyBorder="1" applyAlignment="1">
      <alignment vertical="center" wrapText="1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3" fontId="5" fillId="0" borderId="0" xfId="5" applyNumberFormat="1" applyFont="1" applyFill="1" applyAlignment="1">
      <alignment vertical="top"/>
    </xf>
    <xf numFmtId="3" fontId="1" fillId="0" borderId="0" xfId="0" applyNumberFormat="1" applyFont="1" applyFill="1"/>
    <xf numFmtId="0" fontId="5" fillId="2" borderId="0" xfId="5" applyFont="1" applyFill="1" applyAlignment="1">
      <alignment horizontal="right" vertical="top"/>
    </xf>
    <xf numFmtId="3" fontId="5" fillId="2" borderId="0" xfId="5" applyNumberFormat="1" applyFont="1" applyFill="1" applyAlignment="1">
      <alignment horizontal="center" vertical="top"/>
    </xf>
    <xf numFmtId="3" fontId="1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10" fillId="9" borderId="2" xfId="0" applyFont="1" applyFill="1" applyBorder="1" applyAlignment="1">
      <alignment vertical="center"/>
    </xf>
  </cellXfs>
  <cellStyles count="12">
    <cellStyle name="Comma" xfId="1" builtinId="3"/>
    <cellStyle name="Comma 2" xfId="4"/>
    <cellStyle name="Currency" xfId="11" builtinId="4"/>
    <cellStyle name="Normal" xfId="0" builtinId="0"/>
    <cellStyle name="Normal 2" xfId="3"/>
    <cellStyle name="Normal 3" xfId="10"/>
    <cellStyle name="Normal_25" xfId="5"/>
    <cellStyle name="Normal_Sheet1" xfId="2"/>
    <cellStyle name="Normal_Sheet2" xfId="8"/>
    <cellStyle name="Normal_Sheet4" xfId="7"/>
    <cellStyle name="Normal_Sheet5" xfId="9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zoomScaleNormal="100" workbookViewId="0">
      <selection activeCell="E64" sqref="E64"/>
    </sheetView>
  </sheetViews>
  <sheetFormatPr defaultColWidth="9.140625" defaultRowHeight="15"/>
  <cols>
    <col min="1" max="1" width="51.85546875" style="33" bestFit="1" customWidth="1"/>
    <col min="2" max="4" width="11.140625" style="32" bestFit="1" customWidth="1"/>
    <col min="5" max="5" width="10" style="32" bestFit="1" customWidth="1"/>
    <col min="6" max="6" width="11.140625" style="2" bestFit="1" customWidth="1"/>
    <col min="7" max="9" width="10" style="32" bestFit="1" customWidth="1"/>
    <col min="10" max="10" width="11.140625" style="32" bestFit="1" customWidth="1"/>
    <col min="11" max="11" width="8.7109375" style="33" bestFit="1" customWidth="1"/>
    <col min="12" max="12" width="7.140625" style="33" bestFit="1" customWidth="1"/>
    <col min="13" max="16384" width="9.140625" style="33"/>
  </cols>
  <sheetData>
    <row r="1" spans="1:13" ht="26.25">
      <c r="A1" s="133" t="s">
        <v>109</v>
      </c>
    </row>
    <row r="2" spans="1:13">
      <c r="A2" s="36" t="s">
        <v>114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32"/>
    </row>
    <row r="3" spans="1:13">
      <c r="A3" s="36" t="s">
        <v>115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2"/>
    </row>
    <row r="5" spans="1:13">
      <c r="B5" s="23"/>
      <c r="C5" s="23"/>
      <c r="D5" s="23"/>
      <c r="E5" s="23"/>
      <c r="F5" s="28"/>
      <c r="G5" s="23"/>
      <c r="H5" s="23"/>
      <c r="I5" s="23"/>
      <c r="J5" s="23"/>
      <c r="K5" s="36"/>
      <c r="L5" s="36"/>
    </row>
    <row r="6" spans="1:13" ht="45.75">
      <c r="A6" s="143" t="s">
        <v>121</v>
      </c>
      <c r="B6" s="37" t="s">
        <v>40</v>
      </c>
      <c r="C6" s="37" t="s">
        <v>41</v>
      </c>
      <c r="D6" s="37" t="s">
        <v>42</v>
      </c>
      <c r="E6" s="37" t="s">
        <v>43</v>
      </c>
      <c r="F6" s="40" t="s">
        <v>44</v>
      </c>
      <c r="G6" s="37" t="s">
        <v>45</v>
      </c>
      <c r="H6" s="37" t="s">
        <v>46</v>
      </c>
      <c r="I6" s="37" t="s">
        <v>47</v>
      </c>
      <c r="J6" s="37" t="s">
        <v>48</v>
      </c>
      <c r="K6" s="45"/>
      <c r="L6" s="45"/>
    </row>
    <row r="7" spans="1:13">
      <c r="A7" s="36"/>
      <c r="B7" s="23" t="s">
        <v>7</v>
      </c>
      <c r="C7" s="23" t="s">
        <v>7</v>
      </c>
      <c r="D7" s="23" t="s">
        <v>7</v>
      </c>
      <c r="E7" s="23" t="s">
        <v>7</v>
      </c>
      <c r="F7" s="28" t="s">
        <v>7</v>
      </c>
      <c r="G7" s="23" t="s">
        <v>7</v>
      </c>
      <c r="H7" s="23" t="s">
        <v>7</v>
      </c>
      <c r="I7" s="23" t="s">
        <v>7</v>
      </c>
      <c r="J7" s="23" t="s">
        <v>7</v>
      </c>
      <c r="K7" s="36"/>
      <c r="L7" s="36"/>
    </row>
    <row r="8" spans="1:13">
      <c r="A8" s="46" t="s">
        <v>3</v>
      </c>
      <c r="B8" s="47">
        <v>72733.79405951529</v>
      </c>
      <c r="C8" s="47">
        <v>64583.414376445464</v>
      </c>
      <c r="D8" s="47">
        <v>56929.524342047873</v>
      </c>
      <c r="E8" s="47">
        <v>61943.482222222221</v>
      </c>
      <c r="F8" s="48">
        <v>60575.185966444114</v>
      </c>
      <c r="G8" s="47">
        <v>53100.826666666668</v>
      </c>
      <c r="H8" s="47">
        <v>56520.139012562075</v>
      </c>
      <c r="I8" s="47">
        <v>60992.357575757582</v>
      </c>
      <c r="J8" s="47">
        <v>67537.126097719185</v>
      </c>
      <c r="K8" s="49"/>
      <c r="L8" s="49"/>
    </row>
    <row r="9" spans="1:13">
      <c r="A9" s="46" t="s">
        <v>4</v>
      </c>
      <c r="B9" s="47">
        <v>73269.139826880913</v>
      </c>
      <c r="C9" s="47">
        <v>67486.141820594552</v>
      </c>
      <c r="D9" s="47">
        <v>62113.29428431749</v>
      </c>
      <c r="E9" s="47">
        <v>58637.422025473745</v>
      </c>
      <c r="F9" s="48">
        <v>59366.177804393483</v>
      </c>
      <c r="G9" s="47">
        <v>56221.323512230738</v>
      </c>
      <c r="H9" s="47">
        <v>54716.123076923075</v>
      </c>
      <c r="I9" s="47">
        <v>63044.967213114753</v>
      </c>
      <c r="J9" s="47">
        <v>74134.26910256414</v>
      </c>
      <c r="K9" s="49"/>
      <c r="L9" s="49"/>
    </row>
    <row r="10" spans="1:13">
      <c r="A10" s="46" t="s">
        <v>49</v>
      </c>
      <c r="B10" s="47">
        <v>73777.552245233179</v>
      </c>
      <c r="C10" s="47">
        <v>66724.444108744065</v>
      </c>
      <c r="D10" s="47">
        <v>66678.017776891138</v>
      </c>
      <c r="E10" s="47">
        <v>58267.215277777781</v>
      </c>
      <c r="F10" s="48">
        <v>63644.736902782315</v>
      </c>
      <c r="G10" s="47">
        <v>61155.71722182849</v>
      </c>
      <c r="H10" s="47">
        <v>51501.120000000003</v>
      </c>
      <c r="I10" s="47">
        <v>62708.714285714283</v>
      </c>
      <c r="J10" s="47">
        <v>72948.822820374771</v>
      </c>
      <c r="K10" s="49"/>
      <c r="L10" s="49"/>
    </row>
    <row r="11" spans="1:13">
      <c r="A11" s="46" t="s">
        <v>50</v>
      </c>
      <c r="B11" s="47">
        <v>65422.990277777775</v>
      </c>
      <c r="C11" s="47">
        <v>57943.786421818244</v>
      </c>
      <c r="D11" s="47">
        <v>57473.08982619048</v>
      </c>
      <c r="E11" s="47">
        <v>54933.15151515152</v>
      </c>
      <c r="F11" s="48">
        <v>56347.1425295238</v>
      </c>
      <c r="G11" s="47">
        <v>55175.333333333336</v>
      </c>
      <c r="H11" s="47">
        <v>51249.69841269841</v>
      </c>
      <c r="I11" s="47">
        <v>57462.740740740745</v>
      </c>
      <c r="J11" s="47">
        <v>60154.666874999995</v>
      </c>
      <c r="K11" s="49"/>
      <c r="L11" s="49"/>
    </row>
    <row r="12" spans="1:13">
      <c r="A12" s="46" t="s">
        <v>51</v>
      </c>
      <c r="B12" s="47">
        <v>65189.597222222226</v>
      </c>
      <c r="C12" s="47">
        <v>54391.341300813001</v>
      </c>
      <c r="D12" s="47">
        <v>52754.690677756749</v>
      </c>
      <c r="E12" s="47">
        <v>52907.087719298244</v>
      </c>
      <c r="F12" s="48">
        <v>50592.045498708001</v>
      </c>
      <c r="G12" s="47">
        <v>50553.2</v>
      </c>
      <c r="H12" s="47">
        <v>47286.5</v>
      </c>
      <c r="I12" s="47">
        <v>52010.25</v>
      </c>
      <c r="J12" s="47">
        <v>53933.505098039219</v>
      </c>
      <c r="K12" s="49"/>
      <c r="L12" s="49"/>
    </row>
    <row r="13" spans="1:13">
      <c r="A13" s="46" t="s">
        <v>52</v>
      </c>
      <c r="B13" s="47">
        <v>50469.495782790305</v>
      </c>
      <c r="C13" s="47">
        <v>47623.123015873018</v>
      </c>
      <c r="D13" s="47">
        <v>48346.060476562503</v>
      </c>
      <c r="E13" s="47">
        <v>46979.210526315786</v>
      </c>
      <c r="F13" s="48">
        <v>46124.708333333336</v>
      </c>
      <c r="G13" s="47">
        <v>45408.818181818184</v>
      </c>
      <c r="H13" s="47">
        <v>41450.822142857141</v>
      </c>
      <c r="I13" s="47">
        <v>46262.375</v>
      </c>
      <c r="J13" s="47">
        <v>47114.782500000001</v>
      </c>
      <c r="K13" s="49"/>
      <c r="L13" s="49"/>
    </row>
    <row r="14" spans="1:13">
      <c r="A14" s="46" t="s">
        <v>53</v>
      </c>
      <c r="B14" s="47">
        <v>73125.218811600178</v>
      </c>
      <c r="C14" s="47">
        <v>65080.880994207087</v>
      </c>
      <c r="D14" s="47">
        <v>59331.798315</v>
      </c>
      <c r="E14" s="47">
        <v>58902.304347826088</v>
      </c>
      <c r="F14" s="48">
        <v>59632.03065957447</v>
      </c>
      <c r="G14" s="47">
        <v>57514.177735610378</v>
      </c>
      <c r="H14" s="47">
        <v>55582.821333333341</v>
      </c>
      <c r="I14" s="47">
        <v>61526.07246376812</v>
      </c>
      <c r="J14" s="47">
        <v>73704.450232558142</v>
      </c>
      <c r="K14" s="49"/>
      <c r="L14" s="49"/>
    </row>
    <row r="15" spans="1:13">
      <c r="A15" s="46" t="s">
        <v>50</v>
      </c>
      <c r="B15" s="47">
        <v>65754.092948717938</v>
      </c>
      <c r="C15" s="47">
        <v>54555.003521126768</v>
      </c>
      <c r="D15" s="47">
        <v>55519.662260416662</v>
      </c>
      <c r="E15" s="47">
        <v>53786</v>
      </c>
      <c r="F15" s="48">
        <v>53148.4</v>
      </c>
      <c r="G15" s="47">
        <v>48866</v>
      </c>
      <c r="H15" s="47">
        <v>54964</v>
      </c>
      <c r="I15" s="47"/>
      <c r="J15" s="47">
        <v>62269.268000000004</v>
      </c>
      <c r="K15" s="49"/>
      <c r="L15" s="49"/>
    </row>
    <row r="16" spans="1:13">
      <c r="A16" s="46" t="s">
        <v>51</v>
      </c>
      <c r="B16" s="47">
        <v>63842.957914614119</v>
      </c>
      <c r="C16" s="47">
        <v>54288.25</v>
      </c>
      <c r="D16" s="47">
        <v>50207.311651948046</v>
      </c>
      <c r="E16" s="47">
        <v>47208.1</v>
      </c>
      <c r="F16" s="48">
        <v>51739.084983333334</v>
      </c>
      <c r="G16" s="47"/>
      <c r="H16" s="47">
        <v>49092.629629629635</v>
      </c>
      <c r="I16" s="47">
        <v>47931</v>
      </c>
      <c r="J16" s="47">
        <v>52763.393846153849</v>
      </c>
      <c r="K16" s="49"/>
      <c r="L16" s="49"/>
    </row>
    <row r="17" spans="1:13">
      <c r="A17" s="46" t="s">
        <v>52</v>
      </c>
      <c r="B17" s="47">
        <v>56137.621551724136</v>
      </c>
      <c r="C17" s="47">
        <v>46801.333333333336</v>
      </c>
      <c r="D17" s="47">
        <v>48744.12526666667</v>
      </c>
      <c r="E17" s="47">
        <v>42956.25</v>
      </c>
      <c r="F17" s="48">
        <v>44959.46666666666</v>
      </c>
      <c r="G17" s="47">
        <v>42164.166666666664</v>
      </c>
      <c r="H17" s="47">
        <v>44891.454545454544</v>
      </c>
      <c r="I17" s="47">
        <v>45573</v>
      </c>
      <c r="J17" s="47">
        <v>48858.285714285717</v>
      </c>
      <c r="K17" s="49"/>
      <c r="L17" s="49"/>
    </row>
    <row r="18" spans="1:13">
      <c r="A18" s="46" t="s">
        <v>54</v>
      </c>
      <c r="B18" s="47">
        <v>72992.953053343925</v>
      </c>
      <c r="C18" s="47">
        <v>74747.969199999992</v>
      </c>
      <c r="D18" s="47">
        <v>69091.726965174137</v>
      </c>
      <c r="E18" s="47">
        <v>66048.283559577671</v>
      </c>
      <c r="F18" s="48">
        <v>58499.678362573097</v>
      </c>
      <c r="G18" s="47">
        <v>64548.75</v>
      </c>
      <c r="H18" s="47">
        <v>58203.55909774435</v>
      </c>
      <c r="I18" s="47">
        <v>66323.399999999994</v>
      </c>
      <c r="J18" s="47">
        <v>76953.827785087706</v>
      </c>
      <c r="K18" s="49"/>
      <c r="L18" s="49"/>
    </row>
    <row r="19" spans="1:13">
      <c r="A19" s="46" t="s">
        <v>50</v>
      </c>
      <c r="B19" s="47">
        <v>73002.767647058819</v>
      </c>
      <c r="C19" s="47">
        <v>66336.125</v>
      </c>
      <c r="D19" s="47">
        <v>58531.508974358978</v>
      </c>
      <c r="E19" s="47">
        <v>49731.642857142855</v>
      </c>
      <c r="F19" s="48">
        <v>59117.138107416875</v>
      </c>
      <c r="G19" s="47">
        <v>50192.666666666664</v>
      </c>
      <c r="H19" s="47">
        <v>58546.157500000001</v>
      </c>
      <c r="I19" s="47">
        <v>48921.428571428572</v>
      </c>
      <c r="J19" s="47">
        <v>65028.671111111114</v>
      </c>
      <c r="K19" s="49"/>
      <c r="L19" s="49"/>
    </row>
    <row r="20" spans="1:13">
      <c r="A20" s="46" t="s">
        <v>51</v>
      </c>
      <c r="B20" s="47">
        <v>64889.152592592596</v>
      </c>
      <c r="C20" s="47">
        <v>61886.615384615383</v>
      </c>
      <c r="D20" s="47">
        <v>54558.932051282049</v>
      </c>
      <c r="E20" s="47">
        <v>54190.166666666664</v>
      </c>
      <c r="F20" s="48">
        <v>52213</v>
      </c>
      <c r="G20" s="47">
        <v>54745.75</v>
      </c>
      <c r="H20" s="47">
        <v>48913.307692307695</v>
      </c>
      <c r="I20" s="47">
        <v>50845.75</v>
      </c>
      <c r="J20" s="47">
        <v>51340.495833333327</v>
      </c>
      <c r="K20" s="49"/>
      <c r="L20" s="49"/>
    </row>
    <row r="21" spans="1:13">
      <c r="A21" s="46" t="s">
        <v>52</v>
      </c>
      <c r="B21" s="47">
        <v>57682.677777777782</v>
      </c>
      <c r="C21" s="47">
        <v>50975.058823529413</v>
      </c>
      <c r="D21" s="47">
        <v>47794.594712195125</v>
      </c>
      <c r="E21" s="47">
        <v>47224</v>
      </c>
      <c r="F21" s="48">
        <v>48088.82608695652</v>
      </c>
      <c r="G21" s="47">
        <v>40382.5</v>
      </c>
      <c r="H21" s="47">
        <v>44551.047500000008</v>
      </c>
      <c r="I21" s="47">
        <v>48955.1</v>
      </c>
      <c r="J21" s="47">
        <v>48581.545454545456</v>
      </c>
      <c r="K21" s="49"/>
      <c r="L21" s="49"/>
    </row>
    <row r="22" spans="1:13">
      <c r="A22" s="46"/>
      <c r="B22" s="47"/>
      <c r="C22" s="47"/>
      <c r="D22" s="47"/>
      <c r="E22" s="47"/>
      <c r="F22" s="48"/>
      <c r="G22" s="47"/>
      <c r="H22" s="47"/>
      <c r="I22" s="47"/>
      <c r="J22" s="47"/>
      <c r="K22" s="49"/>
      <c r="L22" s="49"/>
    </row>
    <row r="23" spans="1:13">
      <c r="A23" s="46"/>
      <c r="B23" s="23"/>
      <c r="C23" s="23"/>
      <c r="D23" s="23"/>
      <c r="E23" s="23"/>
      <c r="F23" s="28"/>
      <c r="G23" s="23"/>
      <c r="H23" s="23"/>
      <c r="I23" s="23"/>
      <c r="J23" s="23"/>
      <c r="K23" s="36"/>
      <c r="L23" s="36"/>
    </row>
    <row r="24" spans="1:13">
      <c r="A24" s="36" t="s">
        <v>103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2"/>
    </row>
    <row r="25" spans="1:13" ht="45.75">
      <c r="A25" s="144" t="s">
        <v>122</v>
      </c>
      <c r="B25" s="37" t="s">
        <v>40</v>
      </c>
      <c r="C25" s="37" t="s">
        <v>41</v>
      </c>
      <c r="D25" s="37" t="s">
        <v>42</v>
      </c>
      <c r="E25" s="37" t="s">
        <v>43</v>
      </c>
      <c r="F25" s="40" t="s">
        <v>44</v>
      </c>
      <c r="G25" s="37" t="s">
        <v>45</v>
      </c>
      <c r="H25" s="37" t="s">
        <v>46</v>
      </c>
      <c r="I25" s="37" t="s">
        <v>47</v>
      </c>
      <c r="J25" s="37" t="s">
        <v>48</v>
      </c>
      <c r="K25" s="45"/>
      <c r="L25" s="45"/>
    </row>
    <row r="26" spans="1:13">
      <c r="A26" s="50"/>
      <c r="B26" s="23" t="s">
        <v>8</v>
      </c>
      <c r="C26" s="23" t="s">
        <v>8</v>
      </c>
      <c r="D26" s="23" t="s">
        <v>8</v>
      </c>
      <c r="E26" s="23" t="s">
        <v>8</v>
      </c>
      <c r="F26" s="28" t="s">
        <v>8</v>
      </c>
      <c r="G26" s="23" t="s">
        <v>8</v>
      </c>
      <c r="H26" s="23" t="s">
        <v>8</v>
      </c>
      <c r="I26" s="23" t="s">
        <v>8</v>
      </c>
      <c r="J26" s="23" t="s">
        <v>8</v>
      </c>
      <c r="K26" s="36"/>
      <c r="L26" s="36"/>
    </row>
    <row r="27" spans="1:13">
      <c r="A27" s="46" t="s">
        <v>3</v>
      </c>
      <c r="B27" s="51">
        <v>315</v>
      </c>
      <c r="C27" s="51">
        <v>288</v>
      </c>
      <c r="D27" s="51">
        <v>337</v>
      </c>
      <c r="E27" s="51">
        <v>100</v>
      </c>
      <c r="F27" s="52">
        <v>292</v>
      </c>
      <c r="G27" s="51">
        <v>75</v>
      </c>
      <c r="H27" s="51">
        <v>163</v>
      </c>
      <c r="I27" s="51">
        <v>110</v>
      </c>
      <c r="J27" s="51">
        <v>249</v>
      </c>
      <c r="K27" s="53"/>
      <c r="L27" s="54"/>
    </row>
    <row r="28" spans="1:13">
      <c r="A28" s="46" t="s">
        <v>4</v>
      </c>
      <c r="B28" s="51">
        <v>136</v>
      </c>
      <c r="C28" s="51">
        <v>189</v>
      </c>
      <c r="D28" s="51">
        <v>221</v>
      </c>
      <c r="E28" s="51">
        <v>58</v>
      </c>
      <c r="F28" s="52">
        <v>109</v>
      </c>
      <c r="G28" s="51">
        <v>15</v>
      </c>
      <c r="H28" s="51">
        <v>65</v>
      </c>
      <c r="I28" s="51">
        <v>61</v>
      </c>
      <c r="J28" s="51">
        <v>156</v>
      </c>
      <c r="K28" s="53"/>
      <c r="L28" s="54"/>
    </row>
    <row r="29" spans="1:13">
      <c r="A29" s="46" t="s">
        <v>49</v>
      </c>
      <c r="B29" s="51">
        <v>67</v>
      </c>
      <c r="C29" s="51">
        <v>86</v>
      </c>
      <c r="D29" s="51">
        <v>49</v>
      </c>
      <c r="E29" s="51">
        <v>36</v>
      </c>
      <c r="F29" s="52">
        <v>84</v>
      </c>
      <c r="G29" s="51">
        <v>34</v>
      </c>
      <c r="H29" s="51">
        <v>25</v>
      </c>
      <c r="I29" s="51">
        <v>35</v>
      </c>
      <c r="J29" s="51">
        <v>77</v>
      </c>
      <c r="K29" s="53"/>
      <c r="L29" s="53"/>
    </row>
    <row r="30" spans="1:13">
      <c r="A30" s="46" t="s">
        <v>50</v>
      </c>
      <c r="B30" s="51">
        <v>36</v>
      </c>
      <c r="C30" s="51">
        <v>26</v>
      </c>
      <c r="D30" s="51">
        <v>21</v>
      </c>
      <c r="E30" s="51">
        <v>11</v>
      </c>
      <c r="F30" s="52">
        <v>25</v>
      </c>
      <c r="G30" s="51">
        <v>9</v>
      </c>
      <c r="H30" s="51">
        <v>14</v>
      </c>
      <c r="I30" s="51">
        <v>9</v>
      </c>
      <c r="J30" s="51">
        <v>32</v>
      </c>
      <c r="K30" s="53"/>
      <c r="L30" s="53"/>
    </row>
    <row r="31" spans="1:13">
      <c r="A31" s="46" t="s">
        <v>51</v>
      </c>
      <c r="B31" s="51">
        <v>24</v>
      </c>
      <c r="C31" s="51">
        <v>41</v>
      </c>
      <c r="D31" s="51">
        <v>37</v>
      </c>
      <c r="E31" s="51">
        <v>19</v>
      </c>
      <c r="F31" s="52">
        <v>43</v>
      </c>
      <c r="G31" s="51">
        <v>15</v>
      </c>
      <c r="H31" s="51">
        <v>18</v>
      </c>
      <c r="I31" s="51">
        <v>4</v>
      </c>
      <c r="J31" s="51">
        <v>34</v>
      </c>
      <c r="K31" s="53"/>
      <c r="L31" s="53"/>
    </row>
    <row r="32" spans="1:13">
      <c r="A32" s="46" t="s">
        <v>52</v>
      </c>
      <c r="B32" s="51">
        <v>15</v>
      </c>
      <c r="C32" s="51">
        <v>28</v>
      </c>
      <c r="D32" s="51">
        <v>32</v>
      </c>
      <c r="E32" s="51">
        <v>19</v>
      </c>
      <c r="F32" s="52">
        <v>46</v>
      </c>
      <c r="G32" s="51">
        <v>11</v>
      </c>
      <c r="H32" s="51">
        <v>14</v>
      </c>
      <c r="I32" s="51">
        <v>8</v>
      </c>
      <c r="J32" s="51">
        <v>20</v>
      </c>
      <c r="K32" s="53"/>
      <c r="L32" s="53"/>
    </row>
    <row r="33" spans="1:13">
      <c r="A33" s="46" t="s">
        <v>53</v>
      </c>
      <c r="B33" s="51">
        <v>75</v>
      </c>
      <c r="C33" s="51">
        <v>66</v>
      </c>
      <c r="D33" s="51">
        <v>40</v>
      </c>
      <c r="E33" s="51">
        <v>23</v>
      </c>
      <c r="F33" s="52">
        <v>47</v>
      </c>
      <c r="G33" s="51">
        <v>17</v>
      </c>
      <c r="H33" s="51">
        <v>30</v>
      </c>
      <c r="I33" s="51">
        <v>23</v>
      </c>
      <c r="J33" s="51">
        <v>43</v>
      </c>
      <c r="K33" s="53"/>
      <c r="L33" s="53"/>
    </row>
    <row r="34" spans="1:13">
      <c r="A34" s="46" t="s">
        <v>50</v>
      </c>
      <c r="B34" s="51">
        <v>26</v>
      </c>
      <c r="C34" s="51">
        <v>20</v>
      </c>
      <c r="D34" s="51">
        <v>16</v>
      </c>
      <c r="E34" s="51">
        <v>5</v>
      </c>
      <c r="F34" s="52">
        <v>10</v>
      </c>
      <c r="G34" s="51">
        <v>1</v>
      </c>
      <c r="H34" s="51">
        <v>5</v>
      </c>
      <c r="I34" s="51"/>
      <c r="J34" s="51">
        <v>10</v>
      </c>
      <c r="K34" s="53"/>
      <c r="L34" s="53"/>
    </row>
    <row r="35" spans="1:13">
      <c r="A35" s="46" t="s">
        <v>51</v>
      </c>
      <c r="B35" s="51">
        <v>35</v>
      </c>
      <c r="C35" s="51">
        <v>16</v>
      </c>
      <c r="D35" s="51">
        <v>22</v>
      </c>
      <c r="E35" s="51">
        <v>10</v>
      </c>
      <c r="F35" s="52">
        <v>20</v>
      </c>
      <c r="G35" s="51"/>
      <c r="H35" s="51">
        <v>9</v>
      </c>
      <c r="I35" s="51">
        <v>4</v>
      </c>
      <c r="J35" s="51">
        <v>13</v>
      </c>
      <c r="K35" s="53"/>
      <c r="L35" s="53"/>
    </row>
    <row r="36" spans="1:13">
      <c r="A36" s="46" t="s">
        <v>52</v>
      </c>
      <c r="B36" s="51">
        <v>29</v>
      </c>
      <c r="C36" s="51">
        <v>12</v>
      </c>
      <c r="D36" s="51">
        <v>12</v>
      </c>
      <c r="E36" s="51">
        <v>4</v>
      </c>
      <c r="F36" s="52">
        <v>10</v>
      </c>
      <c r="G36" s="51">
        <v>6</v>
      </c>
      <c r="H36" s="51">
        <v>11</v>
      </c>
      <c r="I36" s="51">
        <v>4</v>
      </c>
      <c r="J36" s="51">
        <v>14</v>
      </c>
      <c r="K36" s="53"/>
      <c r="L36" s="53"/>
    </row>
    <row r="37" spans="1:13">
      <c r="A37" s="46" t="s">
        <v>54</v>
      </c>
      <c r="B37" s="51">
        <v>50</v>
      </c>
      <c r="C37" s="51">
        <v>25</v>
      </c>
      <c r="D37" s="51">
        <v>67</v>
      </c>
      <c r="E37" s="51">
        <v>17</v>
      </c>
      <c r="F37" s="52">
        <v>57</v>
      </c>
      <c r="G37" s="51">
        <v>8</v>
      </c>
      <c r="H37" s="51">
        <v>19</v>
      </c>
      <c r="I37" s="51">
        <v>15</v>
      </c>
      <c r="J37" s="51">
        <v>24</v>
      </c>
      <c r="K37" s="53"/>
      <c r="L37" s="53"/>
    </row>
    <row r="38" spans="1:13">
      <c r="A38" s="46" t="s">
        <v>50</v>
      </c>
      <c r="B38" s="51">
        <v>17</v>
      </c>
      <c r="C38" s="51">
        <v>8</v>
      </c>
      <c r="D38" s="51">
        <v>30</v>
      </c>
      <c r="E38" s="51">
        <v>8</v>
      </c>
      <c r="F38" s="52">
        <v>23</v>
      </c>
      <c r="G38" s="51">
        <v>3</v>
      </c>
      <c r="H38" s="51">
        <v>8</v>
      </c>
      <c r="I38" s="51">
        <v>7</v>
      </c>
      <c r="J38" s="51">
        <v>9</v>
      </c>
      <c r="K38" s="53"/>
      <c r="L38" s="53"/>
    </row>
    <row r="39" spans="1:13">
      <c r="A39" s="46" t="s">
        <v>51</v>
      </c>
      <c r="B39" s="51">
        <v>27</v>
      </c>
      <c r="C39" s="51">
        <v>13</v>
      </c>
      <c r="D39" s="51">
        <v>20</v>
      </c>
      <c r="E39" s="51">
        <v>12</v>
      </c>
      <c r="F39" s="52">
        <v>14</v>
      </c>
      <c r="G39" s="51">
        <v>4</v>
      </c>
      <c r="H39" s="51">
        <v>13</v>
      </c>
      <c r="I39" s="51">
        <v>4</v>
      </c>
      <c r="J39" s="51">
        <v>12</v>
      </c>
      <c r="K39" s="53"/>
      <c r="L39" s="53"/>
    </row>
    <row r="40" spans="1:13">
      <c r="A40" s="46" t="s">
        <v>52</v>
      </c>
      <c r="B40" s="51">
        <v>27</v>
      </c>
      <c r="C40" s="51">
        <v>17</v>
      </c>
      <c r="D40" s="51">
        <v>41</v>
      </c>
      <c r="E40" s="51">
        <v>7</v>
      </c>
      <c r="F40" s="52">
        <v>23</v>
      </c>
      <c r="G40" s="51">
        <v>4</v>
      </c>
      <c r="H40" s="51">
        <v>12</v>
      </c>
      <c r="I40" s="51">
        <v>10</v>
      </c>
      <c r="J40" s="51">
        <v>11</v>
      </c>
      <c r="K40" s="53"/>
      <c r="L40" s="53"/>
    </row>
    <row r="41" spans="1:13">
      <c r="A41" s="46"/>
      <c r="B41" s="55">
        <f>SUM(B27:B40)</f>
        <v>879</v>
      </c>
      <c r="C41" s="55">
        <f t="shared" ref="C41:J41" si="0">SUM(C27:C40)</f>
        <v>835</v>
      </c>
      <c r="D41" s="55">
        <f t="shared" si="0"/>
        <v>945</v>
      </c>
      <c r="E41" s="51">
        <f t="shared" si="0"/>
        <v>329</v>
      </c>
      <c r="F41" s="56">
        <f t="shared" si="0"/>
        <v>803</v>
      </c>
      <c r="G41" s="51">
        <f t="shared" si="0"/>
        <v>202</v>
      </c>
      <c r="H41" s="51">
        <f t="shared" si="0"/>
        <v>406</v>
      </c>
      <c r="I41" s="51">
        <f t="shared" si="0"/>
        <v>294</v>
      </c>
      <c r="J41" s="51">
        <f t="shared" si="0"/>
        <v>704</v>
      </c>
      <c r="K41" s="53"/>
      <c r="L41" s="54"/>
    </row>
    <row r="42" spans="1:13">
      <c r="A42" s="46"/>
      <c r="B42" s="55"/>
      <c r="C42" s="55"/>
      <c r="D42" s="55"/>
      <c r="E42" s="51"/>
      <c r="F42" s="56"/>
      <c r="G42" s="51"/>
      <c r="H42" s="51"/>
      <c r="I42" s="51"/>
      <c r="J42" s="51"/>
      <c r="K42" s="53"/>
      <c r="L42" s="54"/>
    </row>
    <row r="43" spans="1:13" s="132" customFormat="1" ht="18.75">
      <c r="A43" s="145" t="s">
        <v>105</v>
      </c>
      <c r="B43" s="129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1"/>
    </row>
    <row r="44" spans="1:13">
      <c r="A44" s="46"/>
      <c r="B44" s="23"/>
      <c r="C44" s="23"/>
      <c r="D44" s="23"/>
      <c r="E44" s="23"/>
      <c r="F44" s="28"/>
      <c r="G44" s="23"/>
      <c r="H44" s="23"/>
      <c r="I44" s="23"/>
      <c r="J44" s="23"/>
      <c r="K44" s="36"/>
      <c r="L44" s="36"/>
    </row>
    <row r="45" spans="1:13" ht="45">
      <c r="A45" s="50" t="s">
        <v>2</v>
      </c>
      <c r="B45" s="37" t="s">
        <v>40</v>
      </c>
      <c r="C45" s="37" t="s">
        <v>41</v>
      </c>
      <c r="D45" s="37" t="s">
        <v>42</v>
      </c>
      <c r="E45" s="37" t="s">
        <v>43</v>
      </c>
      <c r="F45" s="40" t="s">
        <v>44</v>
      </c>
      <c r="G45" s="37" t="s">
        <v>45</v>
      </c>
      <c r="H45" s="37" t="s">
        <v>46</v>
      </c>
      <c r="I45" s="37" t="s">
        <v>47</v>
      </c>
      <c r="J45" s="37" t="s">
        <v>48</v>
      </c>
    </row>
    <row r="46" spans="1:13">
      <c r="A46" s="50"/>
      <c r="B46" s="23" t="s">
        <v>55</v>
      </c>
      <c r="C46" s="23" t="s">
        <v>55</v>
      </c>
      <c r="D46" s="23" t="s">
        <v>55</v>
      </c>
      <c r="E46" s="23" t="s">
        <v>55</v>
      </c>
      <c r="F46" s="28" t="s">
        <v>55</v>
      </c>
      <c r="G46" s="23" t="s">
        <v>55</v>
      </c>
      <c r="H46" s="23" t="s">
        <v>55</v>
      </c>
      <c r="I46" s="23" t="s">
        <v>55</v>
      </c>
      <c r="J46" s="23" t="s">
        <v>55</v>
      </c>
    </row>
    <row r="47" spans="1:13">
      <c r="A47" s="46" t="s">
        <v>3</v>
      </c>
      <c r="B47" s="55">
        <f>B8*B27</f>
        <v>22911145.128747318</v>
      </c>
      <c r="C47" s="55">
        <f t="shared" ref="C47:J47" si="1">C8*C27</f>
        <v>18600023.340416294</v>
      </c>
      <c r="D47" s="55">
        <f t="shared" si="1"/>
        <v>19185249.703270134</v>
      </c>
      <c r="E47" s="55">
        <f t="shared" si="1"/>
        <v>6194348.222222222</v>
      </c>
      <c r="F47" s="56">
        <f t="shared" si="1"/>
        <v>17687954.302201681</v>
      </c>
      <c r="G47" s="55">
        <f t="shared" si="1"/>
        <v>3982562</v>
      </c>
      <c r="H47" s="55">
        <f t="shared" si="1"/>
        <v>9212782.6590476185</v>
      </c>
      <c r="I47" s="55">
        <f t="shared" si="1"/>
        <v>6709159.333333334</v>
      </c>
      <c r="J47" s="55">
        <f t="shared" si="1"/>
        <v>16816744.398332078</v>
      </c>
      <c r="K47" s="172"/>
    </row>
    <row r="48" spans="1:13">
      <c r="A48" s="46" t="s">
        <v>4</v>
      </c>
      <c r="B48" s="55">
        <f t="shared" ref="B48:J48" si="2">B9*B28</f>
        <v>9964603.0164558049</v>
      </c>
      <c r="C48" s="55">
        <f t="shared" si="2"/>
        <v>12754880.80409237</v>
      </c>
      <c r="D48" s="55">
        <f t="shared" si="2"/>
        <v>13727038.036834165</v>
      </c>
      <c r="E48" s="55">
        <f t="shared" si="2"/>
        <v>3400970.4774774774</v>
      </c>
      <c r="F48" s="56">
        <f t="shared" si="2"/>
        <v>6470913.3806788893</v>
      </c>
      <c r="G48" s="55">
        <f t="shared" si="2"/>
        <v>843319.85268346104</v>
      </c>
      <c r="H48" s="55">
        <f t="shared" si="2"/>
        <v>3556548</v>
      </c>
      <c r="I48" s="55">
        <f t="shared" si="2"/>
        <v>3845743</v>
      </c>
      <c r="J48" s="55">
        <f t="shared" si="2"/>
        <v>11564945.980000006</v>
      </c>
      <c r="K48" s="173"/>
    </row>
    <row r="49" spans="1:11">
      <c r="A49" s="46" t="s">
        <v>49</v>
      </c>
      <c r="B49" s="55">
        <f t="shared" ref="B49:J49" si="3">B10*B29</f>
        <v>4943096.0004306231</v>
      </c>
      <c r="C49" s="55">
        <f t="shared" si="3"/>
        <v>5738302.1933519896</v>
      </c>
      <c r="D49" s="55">
        <f t="shared" si="3"/>
        <v>3267222.871067666</v>
      </c>
      <c r="E49" s="55">
        <f t="shared" si="3"/>
        <v>2097619.75</v>
      </c>
      <c r="F49" s="56">
        <f t="shared" si="3"/>
        <v>5346157.8998337146</v>
      </c>
      <c r="G49" s="55">
        <f t="shared" si="3"/>
        <v>2079294.3855421687</v>
      </c>
      <c r="H49" s="55">
        <f t="shared" si="3"/>
        <v>1287528</v>
      </c>
      <c r="I49" s="55">
        <f t="shared" si="3"/>
        <v>2194805</v>
      </c>
      <c r="J49" s="55">
        <f t="shared" si="3"/>
        <v>5617059.357168857</v>
      </c>
      <c r="K49" s="173"/>
    </row>
    <row r="50" spans="1:11">
      <c r="A50" s="46" t="s">
        <v>50</v>
      </c>
      <c r="B50" s="55">
        <f t="shared" ref="B50:J50" si="4">B11*B30</f>
        <v>2355227.65</v>
      </c>
      <c r="C50" s="55">
        <f t="shared" si="4"/>
        <v>1506538.4469672744</v>
      </c>
      <c r="D50" s="55">
        <f t="shared" si="4"/>
        <v>1206934.88635</v>
      </c>
      <c r="E50" s="55">
        <f t="shared" si="4"/>
        <v>604264.66666666674</v>
      </c>
      <c r="F50" s="56">
        <f t="shared" si="4"/>
        <v>1408678.563238095</v>
      </c>
      <c r="G50" s="55">
        <f t="shared" si="4"/>
        <v>496578</v>
      </c>
      <c r="H50" s="55">
        <f t="shared" si="4"/>
        <v>717495.77777777775</v>
      </c>
      <c r="I50" s="55">
        <f t="shared" si="4"/>
        <v>517164.66666666669</v>
      </c>
      <c r="J50" s="55">
        <f t="shared" si="4"/>
        <v>1924949.3399999999</v>
      </c>
      <c r="K50" s="173"/>
    </row>
    <row r="51" spans="1:11">
      <c r="A51" s="46" t="s">
        <v>51</v>
      </c>
      <c r="B51" s="55">
        <f t="shared" ref="B51:J51" si="5">B12*B31</f>
        <v>1564550.3333333335</v>
      </c>
      <c r="C51" s="55">
        <f t="shared" si="5"/>
        <v>2230044.9933333332</v>
      </c>
      <c r="D51" s="55">
        <f t="shared" si="5"/>
        <v>1951923.5550769998</v>
      </c>
      <c r="E51" s="55">
        <f t="shared" si="5"/>
        <v>1005234.6666666666</v>
      </c>
      <c r="F51" s="56">
        <f t="shared" si="5"/>
        <v>2175457.9564444441</v>
      </c>
      <c r="G51" s="55">
        <f t="shared" si="5"/>
        <v>758298</v>
      </c>
      <c r="H51" s="55">
        <f t="shared" si="5"/>
        <v>851157</v>
      </c>
      <c r="I51" s="55">
        <f t="shared" si="5"/>
        <v>208041</v>
      </c>
      <c r="J51" s="55">
        <f t="shared" si="5"/>
        <v>1833739.1733333333</v>
      </c>
      <c r="K51" s="173"/>
    </row>
    <row r="52" spans="1:11">
      <c r="A52" s="46" t="s">
        <v>52</v>
      </c>
      <c r="B52" s="55">
        <f t="shared" ref="B52:J52" si="6">B13*B32</f>
        <v>757042.43674185453</v>
      </c>
      <c r="C52" s="55">
        <f t="shared" si="6"/>
        <v>1333447.4444444445</v>
      </c>
      <c r="D52" s="55">
        <f t="shared" si="6"/>
        <v>1547073.9352500001</v>
      </c>
      <c r="E52" s="55">
        <f t="shared" si="6"/>
        <v>892605</v>
      </c>
      <c r="F52" s="56">
        <f t="shared" si="6"/>
        <v>2121736.5833333335</v>
      </c>
      <c r="G52" s="55">
        <f t="shared" si="6"/>
        <v>499497</v>
      </c>
      <c r="H52" s="55">
        <f t="shared" si="6"/>
        <v>580311.51</v>
      </c>
      <c r="I52" s="55">
        <f t="shared" si="6"/>
        <v>370099</v>
      </c>
      <c r="J52" s="55">
        <f t="shared" si="6"/>
        <v>942295.65</v>
      </c>
      <c r="K52" s="173"/>
    </row>
    <row r="53" spans="1:11">
      <c r="A53" s="46" t="s">
        <v>53</v>
      </c>
      <c r="B53" s="55">
        <f t="shared" ref="B53:J53" si="7">B14*B33</f>
        <v>5484391.4108700138</v>
      </c>
      <c r="C53" s="55">
        <f t="shared" si="7"/>
        <v>4295338.1456176676</v>
      </c>
      <c r="D53" s="55">
        <f t="shared" si="7"/>
        <v>2373271.9325999999</v>
      </c>
      <c r="E53" s="55">
        <f t="shared" si="7"/>
        <v>1354753</v>
      </c>
      <c r="F53" s="56">
        <f t="shared" si="7"/>
        <v>2802705.4410000001</v>
      </c>
      <c r="G53" s="55">
        <f t="shared" si="7"/>
        <v>977741.02150537644</v>
      </c>
      <c r="H53" s="55">
        <f t="shared" si="7"/>
        <v>1667484.6400000001</v>
      </c>
      <c r="I53" s="55">
        <f t="shared" si="7"/>
        <v>1415099.6666666667</v>
      </c>
      <c r="J53" s="55">
        <f t="shared" si="7"/>
        <v>3169291.36</v>
      </c>
      <c r="K53" s="173"/>
    </row>
    <row r="54" spans="1:11">
      <c r="A54" s="46" t="s">
        <v>50</v>
      </c>
      <c r="B54" s="55">
        <f t="shared" ref="B54:J54" si="8">B15*B34</f>
        <v>1709606.4166666665</v>
      </c>
      <c r="C54" s="55">
        <f t="shared" si="8"/>
        <v>1091100.0704225353</v>
      </c>
      <c r="D54" s="55">
        <f t="shared" si="8"/>
        <v>888314.5961666666</v>
      </c>
      <c r="E54" s="55">
        <f t="shared" si="8"/>
        <v>268930</v>
      </c>
      <c r="F54" s="56">
        <f t="shared" si="8"/>
        <v>531484</v>
      </c>
      <c r="G54" s="55">
        <f t="shared" si="8"/>
        <v>48866</v>
      </c>
      <c r="H54" s="55">
        <f t="shared" si="8"/>
        <v>274820</v>
      </c>
      <c r="I54" s="55"/>
      <c r="J54" s="55">
        <f t="shared" si="8"/>
        <v>622692.68000000005</v>
      </c>
      <c r="K54" s="173"/>
    </row>
    <row r="55" spans="1:11">
      <c r="A55" s="46" t="s">
        <v>51</v>
      </c>
      <c r="B55" s="55">
        <f t="shared" ref="B55:J55" si="9">B16*B35</f>
        <v>2234503.5270114942</v>
      </c>
      <c r="C55" s="55">
        <f t="shared" si="9"/>
        <v>868612</v>
      </c>
      <c r="D55" s="55">
        <f t="shared" si="9"/>
        <v>1104560.856342857</v>
      </c>
      <c r="E55" s="55">
        <f t="shared" si="9"/>
        <v>472081</v>
      </c>
      <c r="F55" s="56">
        <f t="shared" si="9"/>
        <v>1034781.6996666667</v>
      </c>
      <c r="G55" s="55"/>
      <c r="H55" s="55">
        <f t="shared" si="9"/>
        <v>441833.66666666674</v>
      </c>
      <c r="I55" s="55">
        <f t="shared" si="9"/>
        <v>191724</v>
      </c>
      <c r="J55" s="55">
        <f t="shared" si="9"/>
        <v>685924.12</v>
      </c>
      <c r="K55" s="173"/>
    </row>
    <row r="56" spans="1:11">
      <c r="A56" s="46" t="s">
        <v>52</v>
      </c>
      <c r="B56" s="55">
        <f t="shared" ref="B56:J56" si="10">B17*B36</f>
        <v>1627991.0249999999</v>
      </c>
      <c r="C56" s="55">
        <f t="shared" si="10"/>
        <v>561616</v>
      </c>
      <c r="D56" s="55">
        <f t="shared" si="10"/>
        <v>584929.50320000004</v>
      </c>
      <c r="E56" s="55">
        <f t="shared" si="10"/>
        <v>171825</v>
      </c>
      <c r="F56" s="56">
        <f t="shared" si="10"/>
        <v>449594.66666666663</v>
      </c>
      <c r="G56" s="55">
        <f t="shared" si="10"/>
        <v>252985</v>
      </c>
      <c r="H56" s="55">
        <f t="shared" si="10"/>
        <v>493806</v>
      </c>
      <c r="I56" s="55">
        <f t="shared" si="10"/>
        <v>182292</v>
      </c>
      <c r="J56" s="55">
        <f t="shared" si="10"/>
        <v>684016</v>
      </c>
      <c r="K56" s="173"/>
    </row>
    <row r="57" spans="1:11">
      <c r="A57" s="46" t="s">
        <v>54</v>
      </c>
      <c r="B57" s="55">
        <f t="shared" ref="B57:J57" si="11">B18*B37</f>
        <v>3649647.6526671965</v>
      </c>
      <c r="C57" s="55">
        <f t="shared" si="11"/>
        <v>1868699.2299999997</v>
      </c>
      <c r="D57" s="55">
        <f t="shared" si="11"/>
        <v>4629145.706666667</v>
      </c>
      <c r="E57" s="55">
        <f t="shared" si="11"/>
        <v>1122820.8205128205</v>
      </c>
      <c r="F57" s="56">
        <f t="shared" si="11"/>
        <v>3334481.6666666665</v>
      </c>
      <c r="G57" s="55">
        <f t="shared" si="11"/>
        <v>516390</v>
      </c>
      <c r="H57" s="55">
        <f t="shared" si="11"/>
        <v>1105867.6228571427</v>
      </c>
      <c r="I57" s="55">
        <f t="shared" si="11"/>
        <v>994850.99999999988</v>
      </c>
      <c r="J57" s="55">
        <f t="shared" si="11"/>
        <v>1846891.8668421051</v>
      </c>
      <c r="K57" s="173"/>
    </row>
    <row r="58" spans="1:11">
      <c r="A58" s="46" t="s">
        <v>50</v>
      </c>
      <c r="B58" s="55">
        <f t="shared" ref="B58:J58" si="12">B19*B38</f>
        <v>1241047.0499999998</v>
      </c>
      <c r="C58" s="55">
        <f t="shared" si="12"/>
        <v>530689</v>
      </c>
      <c r="D58" s="55">
        <f t="shared" si="12"/>
        <v>1755945.2692307692</v>
      </c>
      <c r="E58" s="55">
        <f t="shared" si="12"/>
        <v>397853.14285714284</v>
      </c>
      <c r="F58" s="56">
        <f t="shared" si="12"/>
        <v>1359694.1764705882</v>
      </c>
      <c r="G58" s="55">
        <f t="shared" si="12"/>
        <v>150578</v>
      </c>
      <c r="H58" s="55">
        <f t="shared" si="12"/>
        <v>468369.26</v>
      </c>
      <c r="I58" s="55">
        <f t="shared" si="12"/>
        <v>342450</v>
      </c>
      <c r="J58" s="55">
        <f t="shared" si="12"/>
        <v>585258.04</v>
      </c>
      <c r="K58" s="173"/>
    </row>
    <row r="59" spans="1:11">
      <c r="A59" s="46" t="s">
        <v>51</v>
      </c>
      <c r="B59" s="55">
        <f t="shared" ref="B59:J59" si="13">B20*B39</f>
        <v>1752007.12</v>
      </c>
      <c r="C59" s="55">
        <f t="shared" si="13"/>
        <v>804526</v>
      </c>
      <c r="D59" s="55">
        <f t="shared" si="13"/>
        <v>1091178.641025641</v>
      </c>
      <c r="E59" s="55">
        <f t="shared" si="13"/>
        <v>650282</v>
      </c>
      <c r="F59" s="56">
        <f t="shared" si="13"/>
        <v>730982</v>
      </c>
      <c r="G59" s="55">
        <f t="shared" si="13"/>
        <v>218983</v>
      </c>
      <c r="H59" s="55">
        <f t="shared" si="13"/>
        <v>635873</v>
      </c>
      <c r="I59" s="55">
        <f t="shared" si="13"/>
        <v>203383</v>
      </c>
      <c r="J59" s="55">
        <f t="shared" si="13"/>
        <v>616085.94999999995</v>
      </c>
      <c r="K59" s="173"/>
    </row>
    <row r="60" spans="1:11">
      <c r="A60" s="46" t="s">
        <v>52</v>
      </c>
      <c r="B60" s="55">
        <f t="shared" ref="B60:J60" si="14">B21*B40</f>
        <v>1557432.3</v>
      </c>
      <c r="C60" s="55">
        <f t="shared" si="14"/>
        <v>866576</v>
      </c>
      <c r="D60" s="55">
        <f t="shared" si="14"/>
        <v>1959578.3832</v>
      </c>
      <c r="E60" s="55">
        <f t="shared" si="14"/>
        <v>330568</v>
      </c>
      <c r="F60" s="56">
        <f t="shared" si="14"/>
        <v>1106043</v>
      </c>
      <c r="G60" s="55">
        <f t="shared" si="14"/>
        <v>161530</v>
      </c>
      <c r="H60" s="55">
        <f t="shared" si="14"/>
        <v>534612.57000000007</v>
      </c>
      <c r="I60" s="55">
        <f t="shared" si="14"/>
        <v>489551</v>
      </c>
      <c r="J60" s="55">
        <f t="shared" si="14"/>
        <v>534397</v>
      </c>
      <c r="K60" s="173"/>
    </row>
    <row r="61" spans="1:11">
      <c r="B61" s="35"/>
      <c r="C61" s="35"/>
      <c r="D61" s="35"/>
      <c r="E61" s="35"/>
      <c r="F61" s="1"/>
      <c r="G61" s="35"/>
      <c r="H61" s="35"/>
      <c r="I61" s="35"/>
      <c r="J61" s="35"/>
      <c r="K61" s="44"/>
    </row>
    <row r="62" spans="1:11">
      <c r="A62" s="174" t="s">
        <v>20</v>
      </c>
      <c r="B62" s="175">
        <f>SUM(B47:B60)/B41</f>
        <v>70252.890862257438</v>
      </c>
      <c r="C62" s="176">
        <f t="shared" ref="C62:J62" si="15">SUM(C47:C60)/C41</f>
        <v>63533.405591192699</v>
      </c>
      <c r="D62" s="176">
        <f t="shared" si="15"/>
        <v>58489.27817595932</v>
      </c>
      <c r="E62" s="176">
        <f t="shared" si="15"/>
        <v>57641.810779340405</v>
      </c>
      <c r="F62" s="177">
        <f t="shared" si="15"/>
        <v>57983.393942964802</v>
      </c>
      <c r="G62" s="176">
        <f t="shared" si="15"/>
        <v>54389.219107579236</v>
      </c>
      <c r="H62" s="176">
        <f t="shared" si="15"/>
        <v>53764.752971303467</v>
      </c>
      <c r="I62" s="176">
        <f t="shared" si="15"/>
        <v>60082.866213151916</v>
      </c>
      <c r="J62" s="176">
        <f t="shared" si="15"/>
        <v>67392.458687040315</v>
      </c>
      <c r="K62" s="44"/>
    </row>
    <row r="64" spans="1:11">
      <c r="A64" s="174" t="s">
        <v>126</v>
      </c>
      <c r="B64" s="176">
        <f>SUM(B47:J60)/SUM(B41:J41)</f>
        <v>61797.969102071329</v>
      </c>
    </row>
    <row r="65" spans="1:10">
      <c r="A65" s="57"/>
      <c r="B65" s="35"/>
    </row>
    <row r="66" spans="1:10" ht="18.75">
      <c r="A66" s="146" t="s">
        <v>123</v>
      </c>
      <c r="B66" s="153"/>
      <c r="C66" s="147"/>
      <c r="D66" s="147"/>
      <c r="E66" s="147"/>
      <c r="F66" s="157"/>
      <c r="G66" s="147"/>
      <c r="H66" s="147"/>
      <c r="I66" s="147"/>
      <c r="J66" s="147"/>
    </row>
    <row r="67" spans="1:10" s="171" customFormat="1" ht="45.75" thickBot="1">
      <c r="A67" s="169"/>
      <c r="B67" s="170" t="s">
        <v>40</v>
      </c>
      <c r="C67" s="170" t="s">
        <v>41</v>
      </c>
      <c r="D67" s="170" t="s">
        <v>42</v>
      </c>
      <c r="E67" s="170" t="s">
        <v>43</v>
      </c>
      <c r="F67" s="149" t="s">
        <v>44</v>
      </c>
      <c r="G67" s="170" t="s">
        <v>45</v>
      </c>
      <c r="H67" s="170" t="s">
        <v>46</v>
      </c>
      <c r="I67" s="170" t="s">
        <v>47</v>
      </c>
      <c r="J67" s="170" t="s">
        <v>48</v>
      </c>
    </row>
    <row r="68" spans="1:10" ht="15.75" thickBot="1">
      <c r="A68" s="158" t="s">
        <v>127</v>
      </c>
      <c r="B68" s="159">
        <f>B62/$B$64</f>
        <v>1.1368155278083842</v>
      </c>
      <c r="C68" s="159">
        <f t="shared" ref="C68:J68" si="16">C62/$B$64</f>
        <v>1.0280824194441562</v>
      </c>
      <c r="D68" s="159">
        <f t="shared" si="16"/>
        <v>0.94645955240621149</v>
      </c>
      <c r="E68" s="159">
        <f t="shared" si="16"/>
        <v>0.93274603707661941</v>
      </c>
      <c r="F68" s="160">
        <f t="shared" si="16"/>
        <v>0.93827345437831433</v>
      </c>
      <c r="G68" s="159">
        <f t="shared" si="16"/>
        <v>0.88011337423961122</v>
      </c>
      <c r="H68" s="159">
        <f t="shared" si="16"/>
        <v>0.87000841212921665</v>
      </c>
      <c r="I68" s="159">
        <f t="shared" si="16"/>
        <v>0.97224661402567147</v>
      </c>
      <c r="J68" s="159">
        <f t="shared" si="16"/>
        <v>1.0905286964322176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10" zoomScale="85" zoomScaleNormal="85" workbookViewId="0">
      <selection activeCell="B40" sqref="B40"/>
    </sheetView>
  </sheetViews>
  <sheetFormatPr defaultColWidth="21.28515625" defaultRowHeight="15"/>
  <cols>
    <col min="1" max="1" width="44.5703125" style="33" customWidth="1"/>
    <col min="2" max="2" width="14.140625" style="32" customWidth="1"/>
    <col min="3" max="13" width="12.85546875" style="32" customWidth="1"/>
    <col min="14" max="16384" width="21.28515625" style="33"/>
  </cols>
  <sheetData>
    <row r="1" spans="1:12" ht="26.25">
      <c r="A1" s="133" t="s">
        <v>101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>
      <c r="A2" s="36" t="s">
        <v>102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>
      <c r="A3" s="36" t="s">
        <v>104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>
      <c r="A4" s="36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30.75">
      <c r="A5" s="143" t="s">
        <v>121</v>
      </c>
      <c r="B5" s="23"/>
      <c r="C5" s="40" t="s">
        <v>9</v>
      </c>
      <c r="D5" s="40" t="s">
        <v>10</v>
      </c>
      <c r="E5" s="40" t="s">
        <v>11</v>
      </c>
      <c r="F5" s="40" t="s">
        <v>12</v>
      </c>
      <c r="G5" s="40" t="s">
        <v>13</v>
      </c>
      <c r="H5" s="40" t="s">
        <v>14</v>
      </c>
      <c r="I5" s="40" t="s">
        <v>15</v>
      </c>
      <c r="J5" s="40" t="s">
        <v>16</v>
      </c>
      <c r="K5" s="40" t="s">
        <v>17</v>
      </c>
      <c r="L5" s="40" t="s">
        <v>18</v>
      </c>
    </row>
    <row r="6" spans="1:12">
      <c r="A6" s="36"/>
      <c r="B6" s="23"/>
      <c r="C6" s="28" t="s">
        <v>7</v>
      </c>
      <c r="D6" s="28" t="s">
        <v>7</v>
      </c>
      <c r="E6" s="28" t="s">
        <v>7</v>
      </c>
      <c r="F6" s="28" t="s">
        <v>7</v>
      </c>
      <c r="G6" s="28" t="s">
        <v>7</v>
      </c>
      <c r="H6" s="28" t="s">
        <v>7</v>
      </c>
      <c r="I6" s="28" t="s">
        <v>7</v>
      </c>
      <c r="J6" s="28" t="s">
        <v>7</v>
      </c>
      <c r="K6" s="28" t="s">
        <v>7</v>
      </c>
      <c r="L6" s="28" t="s">
        <v>7</v>
      </c>
    </row>
    <row r="7" spans="1:12">
      <c r="A7" s="36" t="s">
        <v>4</v>
      </c>
      <c r="B7" s="23"/>
      <c r="C7" s="23">
        <v>49029.255177957704</v>
      </c>
      <c r="D7" s="23">
        <v>54265.182675438598</v>
      </c>
      <c r="E7" s="23">
        <v>61162.133160656682</v>
      </c>
      <c r="F7" s="23">
        <v>66575.817473336021</v>
      </c>
      <c r="G7" s="23">
        <v>67741.147981308415</v>
      </c>
      <c r="H7" s="23">
        <v>71850.914258420293</v>
      </c>
      <c r="I7" s="23">
        <v>72011.908146275193</v>
      </c>
      <c r="J7" s="23">
        <v>75568.859107193741</v>
      </c>
      <c r="K7" s="23">
        <v>79449.523979487174</v>
      </c>
      <c r="L7" s="23">
        <v>81860.347485134436</v>
      </c>
    </row>
    <row r="8" spans="1:12">
      <c r="A8" s="36" t="s">
        <v>5</v>
      </c>
      <c r="B8" s="23"/>
      <c r="C8" s="23">
        <v>47768.572539682544</v>
      </c>
      <c r="D8" s="23">
        <v>51509.761764705887</v>
      </c>
      <c r="E8" s="23">
        <v>55268.792434566582</v>
      </c>
      <c r="F8" s="23">
        <v>57324.843809523816</v>
      </c>
      <c r="G8" s="23">
        <v>62277.063492063491</v>
      </c>
      <c r="H8" s="23">
        <v>58768.884444444448</v>
      </c>
      <c r="I8" s="23">
        <v>63424.5</v>
      </c>
      <c r="J8" s="23">
        <v>67742.120852130334</v>
      </c>
      <c r="K8" s="23">
        <v>64885.607999999993</v>
      </c>
      <c r="L8" s="23">
        <v>69141.83928571429</v>
      </c>
    </row>
    <row r="9" spans="1:12">
      <c r="A9" s="36" t="s">
        <v>6</v>
      </c>
      <c r="B9" s="23"/>
      <c r="C9" s="23">
        <v>48152.585185185177</v>
      </c>
      <c r="D9" s="23">
        <v>53933.938550724641</v>
      </c>
      <c r="E9" s="23">
        <v>57871.677564102567</v>
      </c>
      <c r="F9" s="23">
        <v>55793.355000000003</v>
      </c>
      <c r="G9" s="23">
        <v>60775.974999999999</v>
      </c>
      <c r="H9" s="23">
        <v>63865.705935730155</v>
      </c>
      <c r="I9" s="23">
        <v>61788.06923076923</v>
      </c>
      <c r="J9" s="23">
        <v>63732</v>
      </c>
      <c r="K9" s="23">
        <v>77344.160000000003</v>
      </c>
      <c r="L9" s="23">
        <v>75298.846153846156</v>
      </c>
    </row>
    <row r="10" spans="1:12">
      <c r="A10" s="24" t="s">
        <v>0</v>
      </c>
      <c r="B10" s="38"/>
      <c r="C10" s="23">
        <v>46203.741150929709</v>
      </c>
      <c r="D10" s="23">
        <v>50592.125042178894</v>
      </c>
      <c r="E10" s="23">
        <v>56496.256140531557</v>
      </c>
      <c r="F10" s="23">
        <v>59787.229164064542</v>
      </c>
      <c r="G10" s="23">
        <v>60235.457410797426</v>
      </c>
      <c r="H10" s="23">
        <v>65383.299116580623</v>
      </c>
      <c r="I10" s="23">
        <v>67121.913889059899</v>
      </c>
      <c r="J10" s="23">
        <v>69137.907574144963</v>
      </c>
      <c r="K10" s="23">
        <v>71565.063122388077</v>
      </c>
      <c r="L10" s="23">
        <v>71620.211354580708</v>
      </c>
    </row>
    <row r="11" spans="1:12">
      <c r="A11" s="24" t="s">
        <v>1</v>
      </c>
      <c r="B11" s="38"/>
      <c r="C11" s="23">
        <v>48580.240415079366</v>
      </c>
      <c r="D11" s="23">
        <v>52914.817455879762</v>
      </c>
      <c r="E11" s="23">
        <v>57189.633614000661</v>
      </c>
      <c r="F11" s="23">
        <v>58413.865580882353</v>
      </c>
      <c r="G11" s="23">
        <v>61900.397112506012</v>
      </c>
      <c r="H11" s="23">
        <v>64470.054805194799</v>
      </c>
      <c r="I11" s="23">
        <v>64059.121957336327</v>
      </c>
      <c r="J11" s="23">
        <v>65934.289930434781</v>
      </c>
      <c r="K11" s="23">
        <v>66148.376771242678</v>
      </c>
      <c r="L11" s="23">
        <v>68587.62336054421</v>
      </c>
    </row>
    <row r="12" spans="1:12">
      <c r="A12" s="24"/>
      <c r="B12" s="38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>
      <c r="A13" s="24"/>
      <c r="B13" s="38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>
      <c r="A14" s="36" t="s">
        <v>101</v>
      </c>
      <c r="B14" s="38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>
      <c r="A15" s="36" t="s">
        <v>103</v>
      </c>
      <c r="B15" s="38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>
      <c r="A16" s="24"/>
      <c r="B16" s="38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3" ht="30.75">
      <c r="A17" s="144" t="s">
        <v>122</v>
      </c>
      <c r="B17" s="38"/>
      <c r="C17" s="40" t="s">
        <v>9</v>
      </c>
      <c r="D17" s="40" t="s">
        <v>10</v>
      </c>
      <c r="E17" s="40" t="s">
        <v>11</v>
      </c>
      <c r="F17" s="40" t="s">
        <v>12</v>
      </c>
      <c r="G17" s="40" t="s">
        <v>13</v>
      </c>
      <c r="H17" s="40" t="s">
        <v>14</v>
      </c>
      <c r="I17" s="40" t="s">
        <v>15</v>
      </c>
      <c r="J17" s="40" t="s">
        <v>16</v>
      </c>
      <c r="K17" s="40" t="s">
        <v>17</v>
      </c>
      <c r="L17" s="40" t="s">
        <v>18</v>
      </c>
      <c r="M17" s="40" t="s">
        <v>19</v>
      </c>
    </row>
    <row r="18" spans="1:13">
      <c r="A18" s="24"/>
      <c r="B18" s="38"/>
      <c r="C18" s="40" t="s">
        <v>8</v>
      </c>
      <c r="D18" s="40" t="s">
        <v>8</v>
      </c>
      <c r="E18" s="40" t="s">
        <v>8</v>
      </c>
      <c r="F18" s="40" t="s">
        <v>8</v>
      </c>
      <c r="G18" s="40" t="s">
        <v>8</v>
      </c>
      <c r="H18" s="40" t="s">
        <v>8</v>
      </c>
      <c r="I18" s="40" t="s">
        <v>8</v>
      </c>
      <c r="J18" s="40" t="s">
        <v>8</v>
      </c>
      <c r="K18" s="40" t="s">
        <v>8</v>
      </c>
      <c r="L18" s="40" t="s">
        <v>8</v>
      </c>
      <c r="M18" s="2"/>
    </row>
    <row r="19" spans="1:13">
      <c r="A19" s="24" t="s">
        <v>4</v>
      </c>
      <c r="B19" s="38"/>
      <c r="C19" s="23">
        <v>127</v>
      </c>
      <c r="D19" s="23">
        <v>152</v>
      </c>
      <c r="E19" s="23">
        <v>129</v>
      </c>
      <c r="F19" s="23">
        <v>111</v>
      </c>
      <c r="G19" s="23">
        <v>107</v>
      </c>
      <c r="H19" s="23">
        <v>97</v>
      </c>
      <c r="I19" s="23">
        <v>72</v>
      </c>
      <c r="J19" s="23">
        <v>75</v>
      </c>
      <c r="K19" s="23">
        <v>65</v>
      </c>
      <c r="L19" s="23">
        <v>75</v>
      </c>
      <c r="M19" s="34">
        <f>SUM(C19:L19)</f>
        <v>1010</v>
      </c>
    </row>
    <row r="20" spans="1:13">
      <c r="A20" s="24" t="s">
        <v>5</v>
      </c>
      <c r="B20" s="38"/>
      <c r="C20" s="23">
        <v>63</v>
      </c>
      <c r="D20" s="23">
        <v>51</v>
      </c>
      <c r="E20" s="23">
        <v>51</v>
      </c>
      <c r="F20" s="23">
        <v>35</v>
      </c>
      <c r="G20" s="23">
        <v>21</v>
      </c>
      <c r="H20" s="23">
        <v>24</v>
      </c>
      <c r="I20" s="23">
        <v>12</v>
      </c>
      <c r="J20" s="23">
        <v>19</v>
      </c>
      <c r="K20" s="23">
        <v>10</v>
      </c>
      <c r="L20" s="23">
        <v>14</v>
      </c>
      <c r="M20" s="34">
        <f>SUM(C20:L20)</f>
        <v>300</v>
      </c>
    </row>
    <row r="21" spans="1:13">
      <c r="A21" s="24" t="s">
        <v>6</v>
      </c>
      <c r="B21" s="38"/>
      <c r="C21" s="23">
        <v>27</v>
      </c>
      <c r="D21" s="23">
        <v>23</v>
      </c>
      <c r="E21" s="23">
        <v>26</v>
      </c>
      <c r="F21" s="23">
        <v>21</v>
      </c>
      <c r="G21" s="23">
        <v>12</v>
      </c>
      <c r="H21" s="23">
        <v>21</v>
      </c>
      <c r="I21" s="23">
        <v>13</v>
      </c>
      <c r="J21" s="23">
        <v>10</v>
      </c>
      <c r="K21" s="23">
        <v>6</v>
      </c>
      <c r="L21" s="23">
        <v>12</v>
      </c>
      <c r="M21" s="34">
        <f>SUM(C21:L21)</f>
        <v>171</v>
      </c>
    </row>
    <row r="22" spans="1:13">
      <c r="A22" s="24" t="s">
        <v>0</v>
      </c>
      <c r="B22" s="38"/>
      <c r="C22" s="23">
        <v>140</v>
      </c>
      <c r="D22" s="23">
        <v>184</v>
      </c>
      <c r="E22" s="23">
        <v>183</v>
      </c>
      <c r="F22" s="23">
        <v>122</v>
      </c>
      <c r="G22" s="23">
        <v>126</v>
      </c>
      <c r="H22" s="23">
        <v>83</v>
      </c>
      <c r="I22" s="23">
        <v>82</v>
      </c>
      <c r="J22" s="23">
        <v>70</v>
      </c>
      <c r="K22" s="23">
        <v>67</v>
      </c>
      <c r="L22" s="23">
        <v>47</v>
      </c>
      <c r="M22" s="34">
        <f>SUM(C22:L22)</f>
        <v>1104</v>
      </c>
    </row>
    <row r="23" spans="1:13">
      <c r="A23" s="24" t="s">
        <v>1</v>
      </c>
      <c r="B23" s="38"/>
      <c r="C23" s="23">
        <v>84</v>
      </c>
      <c r="D23" s="23">
        <v>104</v>
      </c>
      <c r="E23" s="23">
        <v>88</v>
      </c>
      <c r="F23" s="23">
        <v>68</v>
      </c>
      <c r="G23" s="23">
        <v>66</v>
      </c>
      <c r="H23" s="23">
        <v>77</v>
      </c>
      <c r="I23" s="23">
        <v>61</v>
      </c>
      <c r="J23" s="23">
        <v>50</v>
      </c>
      <c r="K23" s="23">
        <v>47</v>
      </c>
      <c r="L23" s="23">
        <v>49</v>
      </c>
      <c r="M23" s="34">
        <f>SUM(C23:L23)</f>
        <v>694</v>
      </c>
    </row>
    <row r="24" spans="1:13">
      <c r="A24" s="24"/>
      <c r="B24" s="38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3" s="132" customFormat="1" ht="18.75">
      <c r="A25" s="145" t="s">
        <v>105</v>
      </c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1"/>
    </row>
    <row r="26" spans="1:13">
      <c r="A26" s="24"/>
      <c r="B26" s="38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32" t="s">
        <v>19</v>
      </c>
    </row>
    <row r="27" spans="1:13">
      <c r="A27" s="24" t="s">
        <v>4</v>
      </c>
      <c r="B27" s="38"/>
      <c r="C27" s="23">
        <f t="shared" ref="C27:L27" si="0">C7*C19</f>
        <v>6226715.4076006282</v>
      </c>
      <c r="D27" s="23">
        <f t="shared" si="0"/>
        <v>8248307.7666666666</v>
      </c>
      <c r="E27" s="23">
        <f t="shared" si="0"/>
        <v>7889915.1777247116</v>
      </c>
      <c r="F27" s="23">
        <f t="shared" si="0"/>
        <v>7389915.7395402985</v>
      </c>
      <c r="G27" s="23">
        <f t="shared" si="0"/>
        <v>7248302.8340000007</v>
      </c>
      <c r="H27" s="23">
        <f t="shared" si="0"/>
        <v>6969538.6830667686</v>
      </c>
      <c r="I27" s="23">
        <f t="shared" si="0"/>
        <v>5184857.386531814</v>
      </c>
      <c r="J27" s="23">
        <f t="shared" si="0"/>
        <v>5667664.4330395302</v>
      </c>
      <c r="K27" s="23">
        <f t="shared" si="0"/>
        <v>5164219.058666666</v>
      </c>
      <c r="L27" s="23">
        <f t="shared" si="0"/>
        <v>6139526.061385083</v>
      </c>
      <c r="M27" s="35">
        <f>SUM(C27:L27)</f>
        <v>66128962.548222169</v>
      </c>
    </row>
    <row r="28" spans="1:13">
      <c r="A28" s="24" t="s">
        <v>5</v>
      </c>
      <c r="B28" s="38"/>
      <c r="C28" s="23">
        <f t="shared" ref="C28:L28" si="1">C8*C20</f>
        <v>3009420.0700000003</v>
      </c>
      <c r="D28" s="23">
        <f t="shared" si="1"/>
        <v>2626997.85</v>
      </c>
      <c r="E28" s="23">
        <f t="shared" si="1"/>
        <v>2818708.4141628956</v>
      </c>
      <c r="F28" s="23">
        <f t="shared" si="1"/>
        <v>2006369.5333333337</v>
      </c>
      <c r="G28" s="23">
        <f t="shared" si="1"/>
        <v>1307818.3333333333</v>
      </c>
      <c r="H28" s="23">
        <f t="shared" si="1"/>
        <v>1410453.2266666668</v>
      </c>
      <c r="I28" s="23">
        <f t="shared" si="1"/>
        <v>761094</v>
      </c>
      <c r="J28" s="23">
        <f t="shared" si="1"/>
        <v>1287100.2961904763</v>
      </c>
      <c r="K28" s="23">
        <f t="shared" si="1"/>
        <v>648856.07999999996</v>
      </c>
      <c r="L28" s="23">
        <f t="shared" si="1"/>
        <v>967985.75</v>
      </c>
      <c r="M28" s="35">
        <f>SUM(C28:L28)</f>
        <v>16844803.553686704</v>
      </c>
    </row>
    <row r="29" spans="1:13">
      <c r="A29" s="24" t="s">
        <v>6</v>
      </c>
      <c r="B29" s="38"/>
      <c r="C29" s="23">
        <f t="shared" ref="C29:L29" si="2">C9*C21</f>
        <v>1300119.7999999998</v>
      </c>
      <c r="D29" s="23">
        <f t="shared" si="2"/>
        <v>1240480.5866666667</v>
      </c>
      <c r="E29" s="23">
        <f t="shared" si="2"/>
        <v>1504663.6166666667</v>
      </c>
      <c r="F29" s="23">
        <f t="shared" si="2"/>
        <v>1171660.4550000001</v>
      </c>
      <c r="G29" s="23">
        <f t="shared" si="2"/>
        <v>729311.7</v>
      </c>
      <c r="H29" s="23">
        <f t="shared" si="2"/>
        <v>1341179.8246503333</v>
      </c>
      <c r="I29" s="23">
        <f t="shared" si="2"/>
        <v>803244.9</v>
      </c>
      <c r="J29" s="23">
        <f t="shared" si="2"/>
        <v>637320</v>
      </c>
      <c r="K29" s="23">
        <f t="shared" si="2"/>
        <v>464064.96</v>
      </c>
      <c r="L29" s="23">
        <f t="shared" si="2"/>
        <v>903586.15384615387</v>
      </c>
      <c r="M29" s="35">
        <f>SUM(C29:L29)</f>
        <v>10095631.996829823</v>
      </c>
    </row>
    <row r="30" spans="1:13">
      <c r="A30" s="24" t="s">
        <v>0</v>
      </c>
      <c r="B30" s="38"/>
      <c r="C30" s="23">
        <f t="shared" ref="C30:L30" si="3">C10*C22</f>
        <v>6468523.7611301597</v>
      </c>
      <c r="D30" s="23">
        <f t="shared" si="3"/>
        <v>9308951.0077609159</v>
      </c>
      <c r="E30" s="23">
        <f t="shared" si="3"/>
        <v>10338814.873717275</v>
      </c>
      <c r="F30" s="23">
        <f t="shared" si="3"/>
        <v>7294041.958015874</v>
      </c>
      <c r="G30" s="23">
        <f t="shared" si="3"/>
        <v>7589667.6337604756</v>
      </c>
      <c r="H30" s="23">
        <f t="shared" si="3"/>
        <v>5426813.8266761918</v>
      </c>
      <c r="I30" s="23">
        <f t="shared" si="3"/>
        <v>5503996.9389029117</v>
      </c>
      <c r="J30" s="23">
        <f t="shared" si="3"/>
        <v>4839653.5301901475</v>
      </c>
      <c r="K30" s="23">
        <f t="shared" si="3"/>
        <v>4794859.2292000009</v>
      </c>
      <c r="L30" s="23">
        <f t="shared" si="3"/>
        <v>3366149.9336652933</v>
      </c>
      <c r="M30" s="35">
        <f>SUM(C30:L30)</f>
        <v>64931472.693019241</v>
      </c>
    </row>
    <row r="31" spans="1:13">
      <c r="A31" s="24" t="s">
        <v>1</v>
      </c>
      <c r="B31" s="38"/>
      <c r="C31" s="23">
        <f t="shared" ref="C31:L31" si="4">C11*C23</f>
        <v>4080740.1948666666</v>
      </c>
      <c r="D31" s="23">
        <f t="shared" si="4"/>
        <v>5503141.0154114952</v>
      </c>
      <c r="E31" s="23">
        <f t="shared" si="4"/>
        <v>5032687.7580320584</v>
      </c>
      <c r="F31" s="23">
        <f t="shared" si="4"/>
        <v>3972142.8595000003</v>
      </c>
      <c r="G31" s="23">
        <f t="shared" si="4"/>
        <v>4085426.2094253968</v>
      </c>
      <c r="H31" s="23">
        <f t="shared" si="4"/>
        <v>4964194.22</v>
      </c>
      <c r="I31" s="23">
        <f t="shared" si="4"/>
        <v>3907606.4393975157</v>
      </c>
      <c r="J31" s="23">
        <f t="shared" si="4"/>
        <v>3296714.4965217393</v>
      </c>
      <c r="K31" s="23">
        <f t="shared" si="4"/>
        <v>3108973.7082484057</v>
      </c>
      <c r="L31" s="23">
        <f t="shared" si="4"/>
        <v>3360793.5446666665</v>
      </c>
      <c r="M31" s="35">
        <f>SUM(C31:L31)</f>
        <v>41312420.446069941</v>
      </c>
    </row>
    <row r="32" spans="1:13">
      <c r="A32" s="24"/>
      <c r="B32" s="38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35"/>
    </row>
    <row r="33" spans="1:4">
      <c r="A33" s="24"/>
      <c r="B33" s="38"/>
      <c r="C33" s="35"/>
      <c r="D33" s="42"/>
    </row>
    <row r="34" spans="1:4" ht="18.75">
      <c r="A34" s="146" t="s">
        <v>123</v>
      </c>
      <c r="B34" s="147"/>
      <c r="C34" s="147"/>
      <c r="D34" s="147"/>
    </row>
    <row r="35" spans="1:4" ht="60">
      <c r="A35" s="148"/>
      <c r="B35" s="149"/>
      <c r="C35" s="150" t="s">
        <v>20</v>
      </c>
      <c r="D35" s="150" t="s">
        <v>56</v>
      </c>
    </row>
    <row r="36" spans="1:4">
      <c r="A36" s="151" t="s">
        <v>6</v>
      </c>
      <c r="B36" s="152"/>
      <c r="C36" s="153">
        <f>M29/M21</f>
        <v>59038.783607191945</v>
      </c>
      <c r="D36" s="154">
        <f t="shared" ref="D36:D37" si="5">C36*0.9383</f>
        <v>55396.0906586282</v>
      </c>
    </row>
    <row r="37" spans="1:4">
      <c r="A37" s="151" t="s">
        <v>1</v>
      </c>
      <c r="B37" s="155"/>
      <c r="C37" s="153">
        <f>M31/M23</f>
        <v>59527.983351685791</v>
      </c>
      <c r="D37" s="154">
        <f t="shared" si="5"/>
        <v>55855.10677888678</v>
      </c>
    </row>
    <row r="38" spans="1:4">
      <c r="A38" s="151" t="s">
        <v>74</v>
      </c>
      <c r="B38" s="152"/>
      <c r="C38" s="153">
        <f>(M27+M28+M30)/(M19+M20+M22)</f>
        <v>61269.775805686884</v>
      </c>
      <c r="D38" s="154">
        <f>C38*0.9383</f>
        <v>57489.430638476006</v>
      </c>
    </row>
    <row r="39" spans="1:4">
      <c r="A39" s="24"/>
      <c r="B39" s="38"/>
      <c r="C39" s="35"/>
      <c r="D39" s="35"/>
    </row>
    <row r="40" spans="1:4">
      <c r="A40" s="24"/>
      <c r="B40" s="38"/>
      <c r="C40" s="35"/>
      <c r="D40" s="35"/>
    </row>
    <row r="41" spans="1:4">
      <c r="A41" s="24"/>
      <c r="B41" s="38"/>
      <c r="C41" s="35"/>
      <c r="D41" s="3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A19" sqref="A19:C28"/>
    </sheetView>
  </sheetViews>
  <sheetFormatPr defaultColWidth="17.28515625" defaultRowHeight="15"/>
  <cols>
    <col min="1" max="1" width="35.7109375" style="33" customWidth="1"/>
    <col min="2" max="16384" width="17.28515625" style="33"/>
  </cols>
  <sheetData>
    <row r="1" spans="1:3" ht="26.25">
      <c r="A1" s="156" t="s">
        <v>106</v>
      </c>
      <c r="B1" s="36"/>
      <c r="C1" s="25"/>
    </row>
    <row r="2" spans="1:3">
      <c r="A2" s="36" t="s">
        <v>108</v>
      </c>
      <c r="B2" s="36"/>
      <c r="C2" s="25"/>
    </row>
    <row r="3" spans="1:3">
      <c r="A3" s="36" t="s">
        <v>107</v>
      </c>
      <c r="B3" s="36"/>
      <c r="C3" s="25"/>
    </row>
    <row r="4" spans="1:3">
      <c r="A4" s="25"/>
      <c r="B4" s="36"/>
      <c r="C4" s="25"/>
    </row>
    <row r="5" spans="1:3">
      <c r="A5" s="25" t="s">
        <v>2</v>
      </c>
      <c r="B5" s="28" t="s">
        <v>19</v>
      </c>
      <c r="C5" s="36"/>
    </row>
    <row r="6" spans="1:3">
      <c r="A6" s="25"/>
      <c r="B6" s="28" t="s">
        <v>7</v>
      </c>
      <c r="C6" s="40"/>
    </row>
    <row r="7" spans="1:3">
      <c r="A7" s="25" t="s">
        <v>21</v>
      </c>
      <c r="B7" s="41">
        <v>61147.601375307328</v>
      </c>
      <c r="C7" s="43"/>
    </row>
    <row r="8" spans="1:3">
      <c r="A8" s="25" t="s">
        <v>22</v>
      </c>
      <c r="B8" s="41">
        <v>58660.911412163805</v>
      </c>
      <c r="C8" s="43"/>
    </row>
    <row r="9" spans="1:3">
      <c r="A9" s="25" t="s">
        <v>23</v>
      </c>
      <c r="B9" s="41">
        <v>70773.720274315492</v>
      </c>
      <c r="C9" s="43"/>
    </row>
    <row r="10" spans="1:3">
      <c r="A10" s="25" t="s">
        <v>24</v>
      </c>
      <c r="B10" s="41">
        <v>71839.630468724703</v>
      </c>
      <c r="C10" s="43"/>
    </row>
    <row r="11" spans="1:3">
      <c r="A11" s="25" t="s">
        <v>25</v>
      </c>
      <c r="B11" s="41">
        <v>65085.011317445147</v>
      </c>
      <c r="C11" s="43"/>
    </row>
    <row r="12" spans="1:3">
      <c r="A12" s="25" t="s">
        <v>26</v>
      </c>
      <c r="B12" s="41">
        <v>62500.472931969169</v>
      </c>
      <c r="C12" s="43"/>
    </row>
    <row r="13" spans="1:3">
      <c r="A13" s="25" t="s">
        <v>27</v>
      </c>
      <c r="B13" s="41">
        <v>66803.906587327467</v>
      </c>
      <c r="C13" s="43"/>
    </row>
    <row r="14" spans="1:3">
      <c r="A14" s="25" t="s">
        <v>28</v>
      </c>
      <c r="B14" s="41">
        <v>54793.878919254967</v>
      </c>
      <c r="C14" s="43"/>
    </row>
    <row r="15" spans="1:3">
      <c r="A15" s="25" t="s">
        <v>29</v>
      </c>
      <c r="B15" s="41">
        <v>63468.759914585971</v>
      </c>
      <c r="C15" s="43"/>
    </row>
    <row r="16" spans="1:3">
      <c r="A16" s="25"/>
      <c r="B16" s="25"/>
      <c r="C16" s="25"/>
    </row>
    <row r="17" spans="1:13" s="132" customFormat="1" ht="18.75">
      <c r="A17" s="145" t="s">
        <v>105</v>
      </c>
      <c r="B17" s="129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1"/>
    </row>
    <row r="19" spans="1:13" ht="45">
      <c r="A19" s="148"/>
      <c r="B19" s="157" t="s">
        <v>7</v>
      </c>
      <c r="C19" s="149" t="s">
        <v>57</v>
      </c>
    </row>
    <row r="20" spans="1:13">
      <c r="A20" s="148" t="s">
        <v>21</v>
      </c>
      <c r="B20" s="153">
        <v>61147.601375307328</v>
      </c>
      <c r="C20" s="153">
        <f>B20*0.9383</f>
        <v>57374.794370450865</v>
      </c>
    </row>
    <row r="21" spans="1:13">
      <c r="A21" s="148" t="s">
        <v>22</v>
      </c>
      <c r="B21" s="153">
        <v>58660.911412163805</v>
      </c>
      <c r="C21" s="153">
        <f t="shared" ref="C21:C28" si="0">B21*0.9383</f>
        <v>55041.5331780333</v>
      </c>
    </row>
    <row r="22" spans="1:13">
      <c r="A22" s="148" t="s">
        <v>23</v>
      </c>
      <c r="B22" s="153">
        <v>70773.720274315492</v>
      </c>
      <c r="C22" s="153">
        <f t="shared" si="0"/>
        <v>66406.981733390232</v>
      </c>
    </row>
    <row r="23" spans="1:13">
      <c r="A23" s="148" t="s">
        <v>24</v>
      </c>
      <c r="B23" s="153">
        <v>71839.630468724703</v>
      </c>
      <c r="C23" s="153">
        <f t="shared" si="0"/>
        <v>67407.12526880439</v>
      </c>
    </row>
    <row r="24" spans="1:13">
      <c r="A24" s="148" t="s">
        <v>25</v>
      </c>
      <c r="B24" s="153">
        <v>65085.011317445147</v>
      </c>
      <c r="C24" s="153">
        <f t="shared" si="0"/>
        <v>61069.266119158783</v>
      </c>
    </row>
    <row r="25" spans="1:13">
      <c r="A25" s="148" t="s">
        <v>26</v>
      </c>
      <c r="B25" s="153">
        <v>62500.472931969169</v>
      </c>
      <c r="C25" s="153">
        <f t="shared" si="0"/>
        <v>58644.193752066669</v>
      </c>
    </row>
    <row r="26" spans="1:13">
      <c r="A26" s="148" t="s">
        <v>27</v>
      </c>
      <c r="B26" s="153">
        <v>66803.906587327467</v>
      </c>
      <c r="C26" s="153">
        <f t="shared" si="0"/>
        <v>62682.105550889362</v>
      </c>
    </row>
    <row r="27" spans="1:13">
      <c r="A27" s="148" t="s">
        <v>28</v>
      </c>
      <c r="B27" s="153">
        <v>54793.878919254967</v>
      </c>
      <c r="C27" s="153">
        <f t="shared" si="0"/>
        <v>51413.096589936933</v>
      </c>
    </row>
    <row r="28" spans="1:13">
      <c r="A28" s="148" t="s">
        <v>29</v>
      </c>
      <c r="B28" s="153">
        <v>63468.759914585971</v>
      </c>
      <c r="C28" s="153">
        <f t="shared" si="0"/>
        <v>59552.737427856016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opLeftCell="A16" zoomScale="85" zoomScaleNormal="85" workbookViewId="0">
      <selection activeCell="E54" sqref="E54"/>
    </sheetView>
  </sheetViews>
  <sheetFormatPr defaultColWidth="9.140625" defaultRowHeight="15"/>
  <cols>
    <col min="1" max="1" width="65.28515625" style="33" bestFit="1" customWidth="1"/>
    <col min="2" max="3" width="11.140625" style="32" bestFit="1" customWidth="1"/>
    <col min="4" max="4" width="11.7109375" style="32" bestFit="1" customWidth="1"/>
    <col min="5" max="10" width="12.28515625" style="32" bestFit="1" customWidth="1"/>
    <col min="11" max="11" width="14.140625" style="32" bestFit="1" customWidth="1"/>
    <col min="12" max="12" width="9.28515625" style="33" bestFit="1" customWidth="1"/>
    <col min="13" max="16384" width="9.140625" style="33"/>
  </cols>
  <sheetData>
    <row r="1" spans="1:13" ht="26.25">
      <c r="A1" s="161" t="s">
        <v>110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>
      <c r="A2" s="36" t="s">
        <v>112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32"/>
    </row>
    <row r="3" spans="1:13" ht="45">
      <c r="A3" s="45" t="s">
        <v>113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32"/>
    </row>
    <row r="4" spans="1:13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3" ht="18.75">
      <c r="A5" s="143" t="s">
        <v>121</v>
      </c>
      <c r="B5" s="28" t="s">
        <v>9</v>
      </c>
      <c r="C5" s="28" t="s">
        <v>10</v>
      </c>
      <c r="D5" s="28" t="s">
        <v>11</v>
      </c>
      <c r="E5" s="28" t="s">
        <v>12</v>
      </c>
      <c r="F5" s="28" t="s">
        <v>13</v>
      </c>
      <c r="G5" s="28" t="s">
        <v>14</v>
      </c>
      <c r="H5" s="28" t="s">
        <v>15</v>
      </c>
      <c r="I5" s="28" t="s">
        <v>16</v>
      </c>
      <c r="J5" s="28" t="s">
        <v>17</v>
      </c>
      <c r="K5" s="28" t="s">
        <v>18</v>
      </c>
    </row>
    <row r="6" spans="1:13">
      <c r="A6" s="22"/>
      <c r="B6" s="28" t="s">
        <v>7</v>
      </c>
      <c r="C6" s="28" t="s">
        <v>7</v>
      </c>
      <c r="D6" s="28" t="s">
        <v>7</v>
      </c>
      <c r="E6" s="28" t="s">
        <v>7</v>
      </c>
      <c r="F6" s="28" t="s">
        <v>7</v>
      </c>
      <c r="G6" s="28" t="s">
        <v>7</v>
      </c>
      <c r="H6" s="28" t="s">
        <v>7</v>
      </c>
      <c r="I6" s="28" t="s">
        <v>7</v>
      </c>
      <c r="J6" s="28" t="s">
        <v>7</v>
      </c>
      <c r="K6" s="28" t="s">
        <v>7</v>
      </c>
    </row>
    <row r="7" spans="1:13">
      <c r="A7" s="22" t="s">
        <v>3</v>
      </c>
      <c r="B7" s="41">
        <v>49341.885711031988</v>
      </c>
      <c r="C7" s="41">
        <v>55379.074484836048</v>
      </c>
      <c r="D7" s="41">
        <v>60709.854928220731</v>
      </c>
      <c r="E7" s="41">
        <v>65870.797816706909</v>
      </c>
      <c r="F7" s="41">
        <v>67981.10405531869</v>
      </c>
      <c r="G7" s="41">
        <v>70085.09684866092</v>
      </c>
      <c r="H7" s="41">
        <v>76758.218439650271</v>
      </c>
      <c r="I7" s="41">
        <v>74924.155779638866</v>
      </c>
      <c r="J7" s="41">
        <v>80648.000870682939</v>
      </c>
      <c r="K7" s="41">
        <v>78977.384510605625</v>
      </c>
    </row>
    <row r="8" spans="1:13">
      <c r="A8" s="22" t="s">
        <v>4</v>
      </c>
      <c r="B8" s="41">
        <v>48916.127956763201</v>
      </c>
      <c r="C8" s="41">
        <v>54140.591126900144</v>
      </c>
      <c r="D8" s="41">
        <v>61378.497783914077</v>
      </c>
      <c r="E8" s="41">
        <v>66597.691258325314</v>
      </c>
      <c r="F8" s="41">
        <v>67656.361990361518</v>
      </c>
      <c r="G8" s="41">
        <v>72741.184382566425</v>
      </c>
      <c r="H8" s="41">
        <v>72168.657694742578</v>
      </c>
      <c r="I8" s="41">
        <v>76114.974205096383</v>
      </c>
      <c r="J8" s="41">
        <v>80103.029921961075</v>
      </c>
      <c r="K8" s="41">
        <v>82448.359201771702</v>
      </c>
    </row>
    <row r="9" spans="1:13">
      <c r="A9" s="22" t="s">
        <v>5</v>
      </c>
      <c r="B9" s="41">
        <v>48513.761811526063</v>
      </c>
      <c r="C9" s="41">
        <v>51862.621578925238</v>
      </c>
      <c r="D9" s="41">
        <v>55745.940700168088</v>
      </c>
      <c r="E9" s="41">
        <v>57324.843809523816</v>
      </c>
      <c r="F9" s="41">
        <v>62277.063492063491</v>
      </c>
      <c r="G9" s="41">
        <v>59501.698107551216</v>
      </c>
      <c r="H9" s="41">
        <v>63424.5</v>
      </c>
      <c r="I9" s="41">
        <v>67742.120852130334</v>
      </c>
      <c r="J9" s="41">
        <v>64885.607999999993</v>
      </c>
      <c r="K9" s="41">
        <v>69141.83928571429</v>
      </c>
    </row>
    <row r="10" spans="1:13">
      <c r="A10" s="22" t="s">
        <v>6</v>
      </c>
      <c r="B10" s="41">
        <v>48192.85073467288</v>
      </c>
      <c r="C10" s="41">
        <v>53903.032500694273</v>
      </c>
      <c r="D10" s="41">
        <v>57905.53149813231</v>
      </c>
      <c r="E10" s="41">
        <v>57507.723095357978</v>
      </c>
      <c r="F10" s="41">
        <v>64747.119247450071</v>
      </c>
      <c r="G10" s="41">
        <v>64402.296353333171</v>
      </c>
      <c r="H10" s="41">
        <v>62513.305221687544</v>
      </c>
      <c r="I10" s="41">
        <v>65400.643929653961</v>
      </c>
      <c r="J10" s="41">
        <v>77344.160000000003</v>
      </c>
      <c r="K10" s="41">
        <v>75298.846153846156</v>
      </c>
    </row>
    <row r="11" spans="1:13">
      <c r="A11" s="22" t="s">
        <v>0</v>
      </c>
      <c r="B11" s="41">
        <v>48021.357909484708</v>
      </c>
      <c r="C11" s="41">
        <v>52716.40716081547</v>
      </c>
      <c r="D11" s="41">
        <v>57733.382645227066</v>
      </c>
      <c r="E11" s="41">
        <v>61608.73484853487</v>
      </c>
      <c r="F11" s="41">
        <v>61797.571369734331</v>
      </c>
      <c r="G11" s="41">
        <v>68596.866918629981</v>
      </c>
      <c r="H11" s="41">
        <v>69394.562332676462</v>
      </c>
      <c r="I11" s="41">
        <v>70484.42323266418</v>
      </c>
      <c r="J11" s="41">
        <v>71515.365420503891</v>
      </c>
      <c r="K11" s="41">
        <v>76840.459143176355</v>
      </c>
    </row>
    <row r="12" spans="1:13">
      <c r="A12" s="22" t="s">
        <v>1</v>
      </c>
      <c r="B12" s="41">
        <v>49126.546479786659</v>
      </c>
      <c r="C12" s="41">
        <v>53345.391851202636</v>
      </c>
      <c r="D12" s="41">
        <v>57235.31371874913</v>
      </c>
      <c r="E12" s="41">
        <v>58672.839507352241</v>
      </c>
      <c r="F12" s="41">
        <v>62174.630520328123</v>
      </c>
      <c r="G12" s="41">
        <v>64635.362189039013</v>
      </c>
      <c r="H12" s="41">
        <v>65119.266522172918</v>
      </c>
      <c r="I12" s="41">
        <v>66984.171409522009</v>
      </c>
      <c r="J12" s="41">
        <v>67166.696349054415</v>
      </c>
      <c r="K12" s="41">
        <v>69652.937207546129</v>
      </c>
    </row>
    <row r="13" spans="1:13">
      <c r="A13" s="22"/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13">
      <c r="A14" s="36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3">
      <c r="A15" s="36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3">
      <c r="A16" s="36" t="s">
        <v>111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3">
      <c r="A17" s="22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3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3" ht="18.75">
      <c r="A19" s="144" t="s">
        <v>122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3">
      <c r="A20" s="22" t="s">
        <v>2</v>
      </c>
      <c r="B20" s="28" t="s">
        <v>9</v>
      </c>
      <c r="C20" s="28" t="s">
        <v>10</v>
      </c>
      <c r="D20" s="28" t="s">
        <v>11</v>
      </c>
      <c r="E20" s="28" t="s">
        <v>12</v>
      </c>
      <c r="F20" s="28" t="s">
        <v>13</v>
      </c>
      <c r="G20" s="28" t="s">
        <v>14</v>
      </c>
      <c r="H20" s="28" t="s">
        <v>15</v>
      </c>
      <c r="I20" s="28" t="s">
        <v>16</v>
      </c>
      <c r="J20" s="28" t="s">
        <v>17</v>
      </c>
      <c r="K20" s="28" t="s">
        <v>18</v>
      </c>
    </row>
    <row r="21" spans="1:13">
      <c r="A21" s="22"/>
      <c r="B21" s="28" t="s">
        <v>8</v>
      </c>
      <c r="C21" s="28" t="s">
        <v>8</v>
      </c>
      <c r="D21" s="28" t="s">
        <v>8</v>
      </c>
      <c r="E21" s="28" t="s">
        <v>8</v>
      </c>
      <c r="F21" s="28" t="s">
        <v>8</v>
      </c>
      <c r="G21" s="28" t="s">
        <v>8</v>
      </c>
      <c r="H21" s="28" t="s">
        <v>8</v>
      </c>
      <c r="I21" s="28" t="s">
        <v>8</v>
      </c>
      <c r="J21" s="28" t="s">
        <v>8</v>
      </c>
      <c r="K21" s="28" t="s">
        <v>8</v>
      </c>
    </row>
    <row r="22" spans="1:13">
      <c r="A22" s="22" t="s">
        <v>3</v>
      </c>
      <c r="B22" s="42">
        <v>335</v>
      </c>
      <c r="C22" s="42">
        <v>344</v>
      </c>
      <c r="D22" s="42">
        <v>416</v>
      </c>
      <c r="E22" s="42">
        <v>273</v>
      </c>
      <c r="F22" s="42">
        <v>182</v>
      </c>
      <c r="G22" s="42">
        <v>174</v>
      </c>
      <c r="H22" s="42">
        <v>122</v>
      </c>
      <c r="I22" s="42">
        <v>125</v>
      </c>
      <c r="J22" s="42">
        <v>76</v>
      </c>
      <c r="K22" s="42">
        <v>62</v>
      </c>
    </row>
    <row r="23" spans="1:13">
      <c r="A23" s="22" t="s">
        <v>4</v>
      </c>
      <c r="B23" s="42">
        <v>152</v>
      </c>
      <c r="C23" s="42">
        <v>173</v>
      </c>
      <c r="D23" s="42">
        <v>145</v>
      </c>
      <c r="E23" s="42">
        <v>121</v>
      </c>
      <c r="F23" s="42">
        <v>115</v>
      </c>
      <c r="G23" s="42">
        <v>110</v>
      </c>
      <c r="H23" s="42">
        <v>76</v>
      </c>
      <c r="I23" s="42">
        <v>84</v>
      </c>
      <c r="J23" s="42">
        <v>75</v>
      </c>
      <c r="K23" s="42">
        <v>82</v>
      </c>
    </row>
    <row r="24" spans="1:13">
      <c r="A24" s="22" t="s">
        <v>5</v>
      </c>
      <c r="B24" s="42">
        <v>67</v>
      </c>
      <c r="C24" s="42">
        <v>53</v>
      </c>
      <c r="D24" s="42">
        <v>54</v>
      </c>
      <c r="E24" s="42">
        <v>35</v>
      </c>
      <c r="F24" s="42">
        <v>21</v>
      </c>
      <c r="G24" s="42">
        <v>25</v>
      </c>
      <c r="H24" s="42">
        <v>12</v>
      </c>
      <c r="I24" s="42">
        <v>19</v>
      </c>
      <c r="J24" s="42">
        <v>10</v>
      </c>
      <c r="K24" s="42">
        <v>14</v>
      </c>
    </row>
    <row r="25" spans="1:13">
      <c r="A25" s="22" t="s">
        <v>6</v>
      </c>
      <c r="B25" s="42">
        <v>28</v>
      </c>
      <c r="C25" s="42">
        <v>25</v>
      </c>
      <c r="D25" s="42">
        <v>31</v>
      </c>
      <c r="E25" s="42">
        <v>24</v>
      </c>
      <c r="F25" s="42">
        <v>15</v>
      </c>
      <c r="G25" s="42">
        <v>22</v>
      </c>
      <c r="H25" s="42">
        <v>14</v>
      </c>
      <c r="I25" s="42">
        <v>11</v>
      </c>
      <c r="J25" s="42">
        <v>6</v>
      </c>
      <c r="K25" s="42">
        <v>12</v>
      </c>
    </row>
    <row r="26" spans="1:13">
      <c r="A26" s="22" t="s">
        <v>0</v>
      </c>
      <c r="B26" s="42">
        <v>186</v>
      </c>
      <c r="C26" s="42">
        <v>242</v>
      </c>
      <c r="D26" s="42">
        <v>223</v>
      </c>
      <c r="E26" s="42">
        <v>141</v>
      </c>
      <c r="F26" s="42">
        <v>145</v>
      </c>
      <c r="G26" s="42">
        <v>108</v>
      </c>
      <c r="H26" s="42">
        <v>90</v>
      </c>
      <c r="I26" s="42">
        <v>78</v>
      </c>
      <c r="J26" s="42">
        <v>75</v>
      </c>
      <c r="K26" s="42">
        <v>60</v>
      </c>
    </row>
    <row r="27" spans="1:13">
      <c r="A27" s="22" t="s">
        <v>1</v>
      </c>
      <c r="B27" s="42">
        <v>93</v>
      </c>
      <c r="C27" s="42">
        <v>111</v>
      </c>
      <c r="D27" s="42">
        <v>94</v>
      </c>
      <c r="E27" s="42">
        <v>76</v>
      </c>
      <c r="F27" s="42">
        <v>69</v>
      </c>
      <c r="G27" s="42">
        <v>83</v>
      </c>
      <c r="H27" s="42">
        <v>67</v>
      </c>
      <c r="I27" s="42">
        <v>55</v>
      </c>
      <c r="J27" s="42">
        <v>53</v>
      </c>
      <c r="K27" s="42">
        <v>59</v>
      </c>
    </row>
    <row r="28" spans="1:13">
      <c r="A28" s="62" t="s">
        <v>19</v>
      </c>
      <c r="B28" s="58">
        <f>SUM(B22:B27)</f>
        <v>861</v>
      </c>
      <c r="C28" s="32">
        <f t="shared" ref="C28:K28" si="0">SUM(C22:C27)</f>
        <v>948</v>
      </c>
      <c r="D28" s="32">
        <f t="shared" si="0"/>
        <v>963</v>
      </c>
      <c r="E28" s="32">
        <f t="shared" si="0"/>
        <v>670</v>
      </c>
      <c r="F28" s="32">
        <f t="shared" si="0"/>
        <v>547</v>
      </c>
      <c r="G28" s="32">
        <f t="shared" si="0"/>
        <v>522</v>
      </c>
      <c r="H28" s="32">
        <f t="shared" si="0"/>
        <v>381</v>
      </c>
      <c r="I28" s="32">
        <f t="shared" si="0"/>
        <v>372</v>
      </c>
      <c r="J28" s="32">
        <f t="shared" si="0"/>
        <v>295</v>
      </c>
      <c r="K28" s="32">
        <f t="shared" si="0"/>
        <v>289</v>
      </c>
      <c r="L28" s="59">
        <f>SUM(B28:K28)</f>
        <v>5848</v>
      </c>
    </row>
    <row r="29" spans="1:13">
      <c r="A29" s="62"/>
      <c r="B29" s="58"/>
      <c r="L29" s="59"/>
    </row>
    <row r="30" spans="1:13" s="132" customFormat="1" ht="18.75">
      <c r="A30" s="145" t="s">
        <v>105</v>
      </c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</row>
    <row r="32" spans="1:13">
      <c r="A32" s="22" t="s">
        <v>2</v>
      </c>
      <c r="B32" s="28" t="s">
        <v>9</v>
      </c>
      <c r="C32" s="28" t="s">
        <v>10</v>
      </c>
      <c r="D32" s="28" t="s">
        <v>11</v>
      </c>
      <c r="E32" s="28" t="s">
        <v>12</v>
      </c>
      <c r="F32" s="28" t="s">
        <v>13</v>
      </c>
      <c r="G32" s="28" t="s">
        <v>14</v>
      </c>
      <c r="H32" s="28" t="s">
        <v>15</v>
      </c>
      <c r="I32" s="28" t="s">
        <v>16</v>
      </c>
      <c r="J32" s="28" t="s">
        <v>17</v>
      </c>
      <c r="K32" s="28" t="s">
        <v>18</v>
      </c>
    </row>
    <row r="33" spans="1:11">
      <c r="A33" s="22"/>
      <c r="B33" s="28" t="s">
        <v>55</v>
      </c>
      <c r="C33" s="28" t="s">
        <v>55</v>
      </c>
      <c r="D33" s="28" t="s">
        <v>55</v>
      </c>
      <c r="E33" s="28" t="s">
        <v>55</v>
      </c>
      <c r="F33" s="28" t="s">
        <v>55</v>
      </c>
      <c r="G33" s="28" t="s">
        <v>55</v>
      </c>
      <c r="H33" s="28" t="s">
        <v>55</v>
      </c>
      <c r="I33" s="28" t="s">
        <v>55</v>
      </c>
      <c r="J33" s="28" t="s">
        <v>55</v>
      </c>
      <c r="K33" s="28" t="s">
        <v>55</v>
      </c>
    </row>
    <row r="34" spans="1:11">
      <c r="A34" s="22" t="s">
        <v>3</v>
      </c>
      <c r="B34" s="41">
        <f>B7*B22</f>
        <v>16529531.713195715</v>
      </c>
      <c r="C34" s="41">
        <f t="shared" ref="C34:K34" si="1">C7*C22</f>
        <v>19050401.622783601</v>
      </c>
      <c r="D34" s="41">
        <f t="shared" si="1"/>
        <v>25255299.650139824</v>
      </c>
      <c r="E34" s="41">
        <f t="shared" si="1"/>
        <v>17982727.803960986</v>
      </c>
      <c r="F34" s="41">
        <f t="shared" si="1"/>
        <v>12372560.938068002</v>
      </c>
      <c r="G34" s="41">
        <f t="shared" si="1"/>
        <v>12194806.851667</v>
      </c>
      <c r="H34" s="41">
        <f t="shared" si="1"/>
        <v>9364502.6496373322</v>
      </c>
      <c r="I34" s="41">
        <f t="shared" si="1"/>
        <v>9365519.4724548589</v>
      </c>
      <c r="J34" s="41">
        <f t="shared" si="1"/>
        <v>6129248.0661719032</v>
      </c>
      <c r="K34" s="41">
        <f t="shared" si="1"/>
        <v>4896597.8396575488</v>
      </c>
    </row>
    <row r="35" spans="1:11">
      <c r="A35" s="22" t="s">
        <v>4</v>
      </c>
      <c r="B35" s="41">
        <f t="shared" ref="B35:K35" si="2">B8*B23</f>
        <v>7435251.449428007</v>
      </c>
      <c r="C35" s="41">
        <f t="shared" si="2"/>
        <v>9366322.264953725</v>
      </c>
      <c r="D35" s="41">
        <f t="shared" si="2"/>
        <v>8899882.1786675416</v>
      </c>
      <c r="E35" s="41">
        <f t="shared" si="2"/>
        <v>8058320.6422573626</v>
      </c>
      <c r="F35" s="41">
        <f t="shared" si="2"/>
        <v>7780481.6288915742</v>
      </c>
      <c r="G35" s="41">
        <f t="shared" si="2"/>
        <v>8001530.2820823072</v>
      </c>
      <c r="H35" s="41">
        <f t="shared" si="2"/>
        <v>5484817.9848004356</v>
      </c>
      <c r="I35" s="41">
        <f t="shared" si="2"/>
        <v>6393657.8332280964</v>
      </c>
      <c r="J35" s="41">
        <f t="shared" si="2"/>
        <v>6007727.2441470809</v>
      </c>
      <c r="K35" s="41">
        <f t="shared" si="2"/>
        <v>6760765.45454528</v>
      </c>
    </row>
    <row r="36" spans="1:11">
      <c r="A36" s="22" t="s">
        <v>5</v>
      </c>
      <c r="B36" s="41">
        <f t="shared" ref="B36:K36" si="3">B9*B24</f>
        <v>3250422.0413722461</v>
      </c>
      <c r="C36" s="41">
        <f t="shared" si="3"/>
        <v>2748718.9436830375</v>
      </c>
      <c r="D36" s="41">
        <f t="shared" si="3"/>
        <v>3010280.797809077</v>
      </c>
      <c r="E36" s="41">
        <f t="shared" si="3"/>
        <v>2006369.5333333337</v>
      </c>
      <c r="F36" s="41">
        <f t="shared" si="3"/>
        <v>1307818.3333333333</v>
      </c>
      <c r="G36" s="41">
        <f t="shared" si="3"/>
        <v>1487542.4526887804</v>
      </c>
      <c r="H36" s="41">
        <f t="shared" si="3"/>
        <v>761094</v>
      </c>
      <c r="I36" s="41">
        <f t="shared" si="3"/>
        <v>1287100.2961904763</v>
      </c>
      <c r="J36" s="41">
        <f t="shared" si="3"/>
        <v>648856.07999999996</v>
      </c>
      <c r="K36" s="41">
        <f t="shared" si="3"/>
        <v>967985.75</v>
      </c>
    </row>
    <row r="37" spans="1:11">
      <c r="A37" s="22" t="s">
        <v>6</v>
      </c>
      <c r="B37" s="41">
        <f t="shared" ref="B37:K37" si="4">B10*B25</f>
        <v>1349399.8205708407</v>
      </c>
      <c r="C37" s="41">
        <f t="shared" si="4"/>
        <v>1347575.8125173568</v>
      </c>
      <c r="D37" s="41">
        <f t="shared" si="4"/>
        <v>1795071.4764421016</v>
      </c>
      <c r="E37" s="41">
        <f t="shared" si="4"/>
        <v>1380185.3542885915</v>
      </c>
      <c r="F37" s="41">
        <f t="shared" si="4"/>
        <v>971206.78871175111</v>
      </c>
      <c r="G37" s="41">
        <f t="shared" si="4"/>
        <v>1416850.5197733298</v>
      </c>
      <c r="H37" s="41">
        <f t="shared" si="4"/>
        <v>875186.27310362563</v>
      </c>
      <c r="I37" s="41">
        <f t="shared" si="4"/>
        <v>719407.08322619356</v>
      </c>
      <c r="J37" s="41">
        <f t="shared" si="4"/>
        <v>464064.96</v>
      </c>
      <c r="K37" s="41">
        <f t="shared" si="4"/>
        <v>903586.15384615387</v>
      </c>
    </row>
    <row r="38" spans="1:11">
      <c r="A38" s="22" t="s">
        <v>0</v>
      </c>
      <c r="B38" s="41">
        <f t="shared" ref="B38:K38" si="5">B11*B26</f>
        <v>8931972.5711641554</v>
      </c>
      <c r="C38" s="41">
        <f t="shared" si="5"/>
        <v>12757370.532917343</v>
      </c>
      <c r="D38" s="41">
        <f t="shared" si="5"/>
        <v>12874544.329885636</v>
      </c>
      <c r="E38" s="41">
        <f t="shared" si="5"/>
        <v>8686831.6136434171</v>
      </c>
      <c r="F38" s="41">
        <f t="shared" si="5"/>
        <v>8960647.8486114778</v>
      </c>
      <c r="G38" s="41">
        <f t="shared" si="5"/>
        <v>7408461.6272120383</v>
      </c>
      <c r="H38" s="41">
        <f t="shared" si="5"/>
        <v>6245510.6099408818</v>
      </c>
      <c r="I38" s="41">
        <f t="shared" si="5"/>
        <v>5497785.0121478057</v>
      </c>
      <c r="J38" s="41">
        <f t="shared" si="5"/>
        <v>5363652.4065377917</v>
      </c>
      <c r="K38" s="41">
        <f t="shared" si="5"/>
        <v>4610427.5485905809</v>
      </c>
    </row>
    <row r="39" spans="1:11">
      <c r="A39" s="22" t="s">
        <v>1</v>
      </c>
      <c r="B39" s="41">
        <f t="shared" ref="B39:K39" si="6">B12*B27</f>
        <v>4568768.822620159</v>
      </c>
      <c r="C39" s="41">
        <f t="shared" si="6"/>
        <v>5921338.4954834925</v>
      </c>
      <c r="D39" s="41">
        <f t="shared" si="6"/>
        <v>5380119.4895624183</v>
      </c>
      <c r="E39" s="41">
        <f t="shared" si="6"/>
        <v>4459135.8025587704</v>
      </c>
      <c r="F39" s="41">
        <f t="shared" si="6"/>
        <v>4290049.5059026405</v>
      </c>
      <c r="G39" s="41">
        <f t="shared" si="6"/>
        <v>5364735.0616902383</v>
      </c>
      <c r="H39" s="41">
        <f t="shared" si="6"/>
        <v>4362990.8569855858</v>
      </c>
      <c r="I39" s="41">
        <f t="shared" si="6"/>
        <v>3684129.4275237103</v>
      </c>
      <c r="J39" s="41">
        <f t="shared" si="6"/>
        <v>3559834.9064998841</v>
      </c>
      <c r="K39" s="41">
        <f t="shared" si="6"/>
        <v>4109523.2952452218</v>
      </c>
    </row>
    <row r="40" spans="1:11">
      <c r="A40" s="62"/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2" spans="1:11">
      <c r="A42" s="62" t="s">
        <v>20</v>
      </c>
      <c r="B42" s="35">
        <f>SUM(B34:B39)/B28</f>
        <v>48856.383761151134</v>
      </c>
      <c r="C42" s="35">
        <f t="shared" ref="C42:K42" si="7">SUM(C34:C39)/C28</f>
        <v>53999.71273453434</v>
      </c>
      <c r="D42" s="35">
        <f t="shared" si="7"/>
        <v>59413.497323475181</v>
      </c>
      <c r="E42" s="35">
        <f t="shared" si="7"/>
        <v>63542.642910511146</v>
      </c>
      <c r="F42" s="35">
        <f t="shared" si="7"/>
        <v>65233.574119778394</v>
      </c>
      <c r="G42" s="35">
        <f t="shared" si="7"/>
        <v>68723.997691788696</v>
      </c>
      <c r="H42" s="35">
        <f t="shared" si="7"/>
        <v>71113.129591779172</v>
      </c>
      <c r="I42" s="35">
        <f t="shared" si="7"/>
        <v>72439.782593470809</v>
      </c>
      <c r="J42" s="35">
        <f t="shared" si="7"/>
        <v>75164.012418158178</v>
      </c>
      <c r="K42" s="35">
        <f t="shared" si="7"/>
        <v>76985.764850812411</v>
      </c>
    </row>
    <row r="44" spans="1:11">
      <c r="A44" s="33" t="s">
        <v>58</v>
      </c>
      <c r="B44" s="60">
        <f>SUM(B34:K39)/SUM(B28:K28)</f>
        <v>62083.875821879556</v>
      </c>
    </row>
    <row r="45" spans="1:11">
      <c r="B45" s="60"/>
    </row>
    <row r="46" spans="1:11" ht="18.75">
      <c r="A46" s="146" t="s">
        <v>123</v>
      </c>
      <c r="B46" s="162"/>
      <c r="C46" s="147"/>
      <c r="D46" s="147"/>
      <c r="E46" s="147"/>
      <c r="F46" s="147"/>
      <c r="G46" s="147"/>
      <c r="H46" s="147"/>
      <c r="I46" s="147"/>
      <c r="J46" s="147"/>
      <c r="K46" s="147"/>
    </row>
    <row r="47" spans="1:11">
      <c r="A47" s="148"/>
      <c r="B47" s="157" t="s">
        <v>9</v>
      </c>
      <c r="C47" s="157" t="s">
        <v>10</v>
      </c>
      <c r="D47" s="157" t="s">
        <v>11</v>
      </c>
      <c r="E47" s="157" t="s">
        <v>12</v>
      </c>
      <c r="F47" s="157" t="s">
        <v>13</v>
      </c>
      <c r="G47" s="157" t="s">
        <v>14</v>
      </c>
      <c r="H47" s="157" t="s">
        <v>15</v>
      </c>
      <c r="I47" s="157" t="s">
        <v>16</v>
      </c>
      <c r="J47" s="157" t="s">
        <v>17</v>
      </c>
      <c r="K47" s="157" t="s">
        <v>18</v>
      </c>
    </row>
    <row r="48" spans="1:11">
      <c r="A48" s="148" t="s">
        <v>59</v>
      </c>
      <c r="B48" s="163">
        <f>B42/$B$44</f>
        <v>0.7869415869157641</v>
      </c>
      <c r="C48" s="163">
        <f t="shared" ref="C48:K48" si="8">C42/$B$44</f>
        <v>0.86978643036818581</v>
      </c>
      <c r="D48" s="163">
        <f t="shared" si="8"/>
        <v>0.95698756781767669</v>
      </c>
      <c r="E48" s="163">
        <f t="shared" si="8"/>
        <v>1.0234967142324818</v>
      </c>
      <c r="F48" s="163">
        <f t="shared" si="8"/>
        <v>1.0507329520942832</v>
      </c>
      <c r="G48" s="163">
        <f t="shared" si="8"/>
        <v>1.1069540485674547</v>
      </c>
      <c r="H48" s="163">
        <f t="shared" si="8"/>
        <v>1.145436373782539</v>
      </c>
      <c r="I48" s="163">
        <f t="shared" si="8"/>
        <v>1.1668050944709485</v>
      </c>
      <c r="J48" s="163">
        <f t="shared" si="8"/>
        <v>1.2106849229871846</v>
      </c>
      <c r="K48" s="163">
        <f t="shared" si="8"/>
        <v>1.2400283299271908</v>
      </c>
    </row>
    <row r="49" spans="1:11">
      <c r="A49" s="148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ht="15.75" thickBot="1">
      <c r="A50" s="148"/>
      <c r="B50" s="157" t="s">
        <v>9</v>
      </c>
      <c r="C50" s="157" t="s">
        <v>10</v>
      </c>
      <c r="D50" s="157" t="s">
        <v>11</v>
      </c>
      <c r="E50" s="157" t="s">
        <v>12</v>
      </c>
      <c r="F50" s="157" t="s">
        <v>13</v>
      </c>
      <c r="G50" s="157" t="s">
        <v>14</v>
      </c>
      <c r="H50" s="157" t="s">
        <v>15</v>
      </c>
      <c r="I50" s="157" t="s">
        <v>16</v>
      </c>
      <c r="J50" s="157" t="s">
        <v>17</v>
      </c>
      <c r="K50" s="157" t="s">
        <v>18</v>
      </c>
    </row>
    <row r="51" spans="1:11" ht="15.75" thickBot="1">
      <c r="A51" s="164" t="s">
        <v>60</v>
      </c>
      <c r="B51" s="165">
        <v>0.79</v>
      </c>
      <c r="C51" s="165">
        <v>0.87</v>
      </c>
      <c r="D51" s="165">
        <v>0.96</v>
      </c>
      <c r="E51" s="165">
        <v>1</v>
      </c>
      <c r="F51" s="165">
        <f t="shared" ref="F51:K51" si="9">E51+0.04</f>
        <v>1.04</v>
      </c>
      <c r="G51" s="165">
        <f t="shared" si="9"/>
        <v>1.08</v>
      </c>
      <c r="H51" s="165">
        <f t="shared" si="9"/>
        <v>1.1200000000000001</v>
      </c>
      <c r="I51" s="165">
        <f t="shared" si="9"/>
        <v>1.1600000000000001</v>
      </c>
      <c r="J51" s="165">
        <f t="shared" si="9"/>
        <v>1.2000000000000002</v>
      </c>
      <c r="K51" s="166">
        <f t="shared" si="9"/>
        <v>1.2400000000000002</v>
      </c>
    </row>
    <row r="52" spans="1:11"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4" spans="1:11">
      <c r="B54" s="33"/>
    </row>
    <row r="56" spans="1:11">
      <c r="B56" s="61"/>
      <c r="C56" s="61"/>
      <c r="D56" s="61"/>
      <c r="E56" s="61"/>
      <c r="F56" s="61"/>
      <c r="G56" s="61"/>
      <c r="H56" s="61"/>
      <c r="I56" s="61"/>
      <c r="J56" s="61"/>
      <c r="K56" s="6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/>
  </sheetViews>
  <sheetFormatPr defaultColWidth="9.140625" defaultRowHeight="15"/>
  <cols>
    <col min="1" max="1" width="41.42578125" style="14" bestFit="1" customWidth="1"/>
    <col min="2" max="2" width="20.42578125" style="15" bestFit="1" customWidth="1"/>
    <col min="3" max="16384" width="9.140625" style="14"/>
  </cols>
  <sheetData>
    <row r="1" spans="1:2" ht="26.25">
      <c r="A1" s="167" t="s">
        <v>124</v>
      </c>
    </row>
    <row r="3" spans="1:2">
      <c r="B3" s="15" t="s">
        <v>39</v>
      </c>
    </row>
    <row r="4" spans="1:2">
      <c r="A4" s="14" t="s">
        <v>74</v>
      </c>
      <c r="B4" s="30">
        <f>'WAVG for TS, Cat., &amp; SS-Ref-PS'!D38</f>
        <v>57489.430638476006</v>
      </c>
    </row>
    <row r="5" spans="1:2">
      <c r="A5" s="24" t="s">
        <v>6</v>
      </c>
      <c r="B5" s="18">
        <f>'WAVG for TS, Cat., &amp; SS-Ref-PS'!D36</f>
        <v>55396.0906586282</v>
      </c>
    </row>
    <row r="6" spans="1:2">
      <c r="A6" s="24" t="s">
        <v>1</v>
      </c>
      <c r="B6" s="18">
        <f>'WAVG for TS, Cat., &amp; SS-Ref-PS'!D37</f>
        <v>55855.10677888678</v>
      </c>
    </row>
    <row r="7" spans="1:2">
      <c r="A7" s="25" t="s">
        <v>21</v>
      </c>
      <c r="B7" s="18">
        <f>'AVG for FUNCTSPEC'!C20</f>
        <v>57374.794370450865</v>
      </c>
    </row>
    <row r="8" spans="1:2">
      <c r="A8" s="25" t="s">
        <v>87</v>
      </c>
      <c r="B8" s="18">
        <f>'AVG for FUNCTSPEC'!C21</f>
        <v>55041.5331780333</v>
      </c>
    </row>
    <row r="9" spans="1:2">
      <c r="A9" s="25" t="s">
        <v>32</v>
      </c>
      <c r="B9" s="18">
        <f>'AVG for FUNCTSPEC'!C22</f>
        <v>66406.981733390232</v>
      </c>
    </row>
    <row r="10" spans="1:2">
      <c r="A10" s="25" t="s">
        <v>33</v>
      </c>
      <c r="B10" s="18">
        <f>'AVG for FUNCTSPEC'!C23</f>
        <v>67407.12526880439</v>
      </c>
    </row>
    <row r="11" spans="1:2">
      <c r="A11" s="25" t="s">
        <v>34</v>
      </c>
      <c r="B11" s="18">
        <f>'AVG for FUNCTSPEC'!C24</f>
        <v>61069.266119158783</v>
      </c>
    </row>
    <row r="12" spans="1:2">
      <c r="A12" s="25" t="s">
        <v>35</v>
      </c>
      <c r="B12" s="18">
        <f>'AVG for FUNCTSPEC'!C25</f>
        <v>58644.193752066669</v>
      </c>
    </row>
    <row r="13" spans="1:2">
      <c r="A13" s="25" t="s">
        <v>36</v>
      </c>
      <c r="B13" s="18">
        <f>'AVG for FUNCTSPEC'!C26</f>
        <v>62682.105550889362</v>
      </c>
    </row>
    <row r="14" spans="1:2">
      <c r="A14" s="25" t="s">
        <v>37</v>
      </c>
      <c r="B14" s="18">
        <f>'AVG for FUNCTSPEC'!C27</f>
        <v>51413.096589936933</v>
      </c>
    </row>
    <row r="15" spans="1:2">
      <c r="A15" s="25" t="s">
        <v>38</v>
      </c>
      <c r="B15" s="18">
        <f>'AVG for FUNCTSPEC'!C28</f>
        <v>59552.737427856016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="85" zoomScaleNormal="85" workbookViewId="0">
      <pane xSplit="1" topLeftCell="B1" activePane="topRight" state="frozen"/>
      <selection pane="topRight" activeCell="D18" sqref="D18"/>
    </sheetView>
  </sheetViews>
  <sheetFormatPr defaultRowHeight="15"/>
  <cols>
    <col min="1" max="1" width="26.42578125" bestFit="1" customWidth="1"/>
    <col min="2" max="2" width="19.5703125" bestFit="1" customWidth="1"/>
    <col min="3" max="16" width="15.5703125" customWidth="1"/>
    <col min="17" max="17" width="2" customWidth="1"/>
    <col min="18" max="19" width="15.5703125" customWidth="1"/>
    <col min="20" max="20" width="2" customWidth="1"/>
    <col min="21" max="21" width="15.5703125" customWidth="1"/>
    <col min="22" max="22" width="2" customWidth="1"/>
    <col min="23" max="23" width="15.5703125" customWidth="1"/>
    <col min="24" max="24" width="2" customWidth="1"/>
    <col min="25" max="25" width="17.28515625" bestFit="1" customWidth="1"/>
    <col min="26" max="27" width="15.5703125" customWidth="1"/>
    <col min="28" max="28" width="2" customWidth="1"/>
    <col min="29" max="29" width="15.5703125" customWidth="1"/>
    <col min="30" max="30" width="2" customWidth="1"/>
    <col min="31" max="33" width="15.5703125" customWidth="1"/>
    <col min="34" max="34" width="2" customWidth="1"/>
    <col min="35" max="35" width="15.5703125" customWidth="1"/>
  </cols>
  <sheetData>
    <row r="1" spans="1:35" ht="102" customHeight="1">
      <c r="A1" s="168" t="s">
        <v>125</v>
      </c>
      <c r="B1" s="4"/>
      <c r="C1" s="97"/>
      <c r="D1" s="4"/>
      <c r="E1" s="80"/>
      <c r="F1" s="98"/>
      <c r="G1" s="99"/>
      <c r="H1" s="6"/>
      <c r="I1" s="6"/>
      <c r="J1" s="5"/>
      <c r="K1" s="5"/>
      <c r="L1" s="6"/>
      <c r="M1" s="5"/>
      <c r="N1" s="77"/>
      <c r="O1" s="6"/>
      <c r="P1" s="6"/>
      <c r="Q1" s="102"/>
      <c r="R1" s="5"/>
      <c r="S1" s="119"/>
      <c r="T1" s="102"/>
      <c r="U1" s="97"/>
      <c r="V1" s="102"/>
      <c r="W1" s="97"/>
      <c r="X1" s="102"/>
      <c r="Y1" s="12" t="s">
        <v>119</v>
      </c>
      <c r="Z1" s="13"/>
      <c r="AA1" s="13"/>
      <c r="AB1" s="102"/>
      <c r="AC1" s="12" t="s">
        <v>120</v>
      </c>
      <c r="AD1" s="101"/>
      <c r="AE1" s="4"/>
      <c r="AF1" s="4"/>
      <c r="AG1" s="4"/>
      <c r="AH1" s="101"/>
      <c r="AI1" s="4"/>
    </row>
    <row r="2" spans="1:35" ht="91.5" customHeight="1">
      <c r="A2" s="3" t="s">
        <v>63</v>
      </c>
      <c r="B2" s="64" t="s">
        <v>88</v>
      </c>
      <c r="C2" s="141" t="s">
        <v>79</v>
      </c>
      <c r="D2" s="141" t="s">
        <v>67</v>
      </c>
      <c r="E2" s="141" t="s">
        <v>85</v>
      </c>
      <c r="F2" s="65" t="s">
        <v>68</v>
      </c>
      <c r="G2" s="136" t="s">
        <v>116</v>
      </c>
      <c r="H2" s="137">
        <v>0.09</v>
      </c>
      <c r="I2" s="138" t="s">
        <v>80</v>
      </c>
      <c r="J2" s="139" t="s">
        <v>69</v>
      </c>
      <c r="K2" s="140" t="s">
        <v>91</v>
      </c>
      <c r="L2" s="141" t="s">
        <v>81</v>
      </c>
      <c r="M2" s="138" t="s">
        <v>117</v>
      </c>
      <c r="N2" s="136" t="s">
        <v>118</v>
      </c>
      <c r="O2" s="142" t="s">
        <v>98</v>
      </c>
      <c r="P2" s="141" t="s">
        <v>86</v>
      </c>
      <c r="Q2" s="102"/>
      <c r="R2" s="65" t="s">
        <v>75</v>
      </c>
      <c r="S2" s="65" t="s">
        <v>82</v>
      </c>
      <c r="T2" s="102"/>
      <c r="U2" s="64" t="s">
        <v>71</v>
      </c>
      <c r="V2" s="102"/>
      <c r="W2" s="64" t="s">
        <v>76</v>
      </c>
      <c r="X2" s="102"/>
      <c r="Y2" s="100">
        <v>0.09</v>
      </c>
      <c r="Z2" s="64" t="s">
        <v>83</v>
      </c>
      <c r="AA2" s="64" t="s">
        <v>72</v>
      </c>
      <c r="AB2" s="102"/>
      <c r="AC2" s="100">
        <v>0.18</v>
      </c>
      <c r="AD2" s="102"/>
      <c r="AE2" s="64" t="s">
        <v>84</v>
      </c>
      <c r="AF2" s="64" t="s">
        <v>73</v>
      </c>
      <c r="AG2" s="64" t="s">
        <v>77</v>
      </c>
      <c r="AH2" s="102"/>
      <c r="AI2" s="64" t="s">
        <v>90</v>
      </c>
    </row>
    <row r="3" spans="1:35" ht="33" customHeight="1">
      <c r="A3" s="134" t="s">
        <v>94</v>
      </c>
      <c r="B3" s="5" t="s">
        <v>65</v>
      </c>
      <c r="C3" s="11">
        <v>47000</v>
      </c>
      <c r="D3" s="6"/>
      <c r="E3" s="6">
        <f t="shared" ref="E3:E7" si="0">C3-D3</f>
        <v>47000</v>
      </c>
      <c r="F3" s="6">
        <v>55855</v>
      </c>
      <c r="G3" s="7" t="s">
        <v>8</v>
      </c>
      <c r="H3" s="6">
        <f t="shared" ref="H3:H7" si="1">IF(G3="Y",F3*($H$2),)</f>
        <v>0</v>
      </c>
      <c r="I3" s="6">
        <f t="shared" ref="I3:I7" si="2">F3+H3</f>
        <v>55855</v>
      </c>
      <c r="J3" s="8">
        <v>2</v>
      </c>
      <c r="K3" s="77">
        <v>0.79</v>
      </c>
      <c r="L3" s="6">
        <v>44126</v>
      </c>
      <c r="M3" s="6">
        <v>5000</v>
      </c>
      <c r="N3" s="6">
        <f>M3+L3</f>
        <v>49126</v>
      </c>
      <c r="O3" s="76">
        <v>0</v>
      </c>
      <c r="P3" s="11">
        <f>N3+O3</f>
        <v>49126</v>
      </c>
      <c r="Q3" s="102"/>
      <c r="R3" s="6">
        <f>IF((P3-E3)&gt;0,P3-E3,0)</f>
        <v>2126</v>
      </c>
      <c r="S3" s="10">
        <f>R3/E3</f>
        <v>4.5234042553191488E-2</v>
      </c>
      <c r="T3" s="102"/>
      <c r="U3" s="9"/>
      <c r="V3" s="102"/>
      <c r="W3" s="9" t="s">
        <v>100</v>
      </c>
      <c r="X3" s="102"/>
      <c r="Y3" s="6">
        <f>IF(AND(W3="YES",(S3&gt;0.1)),(E3*$Y$2),R3)</f>
        <v>2126</v>
      </c>
      <c r="Z3" s="6">
        <f>IF(U3="YES",0,IF(W3="YES",Y3,IF(AND(U3=0,W3=0),R3,)))</f>
        <v>2126</v>
      </c>
      <c r="AA3" s="10">
        <f>Z3/E3</f>
        <v>4.5234042553191488E-2</v>
      </c>
      <c r="AB3" s="102"/>
      <c r="AC3" s="10">
        <f t="shared" ref="AC3:AC7" si="3">IF(AA3&gt;$AC$2,$AC$2,AA3)</f>
        <v>4.5234042553191488E-2</v>
      </c>
      <c r="AD3" s="101"/>
      <c r="AE3" s="6">
        <f>(1+AC3)*E3</f>
        <v>49125.999999999993</v>
      </c>
      <c r="AF3" s="6">
        <f>AE3-E3</f>
        <v>2125.9999999999927</v>
      </c>
      <c r="AG3" s="6">
        <f>R3-AF3</f>
        <v>7.2759576141834259E-12</v>
      </c>
      <c r="AH3" s="101"/>
      <c r="AI3" s="6">
        <f>AE3+D3</f>
        <v>49125.999999999993</v>
      </c>
    </row>
    <row r="4" spans="1:35" ht="33" customHeight="1">
      <c r="A4" s="178" t="s">
        <v>95</v>
      </c>
      <c r="B4" s="111" t="s">
        <v>65</v>
      </c>
      <c r="C4" s="112">
        <v>45000</v>
      </c>
      <c r="D4" s="113"/>
      <c r="E4" s="113">
        <f t="shared" si="0"/>
        <v>45000</v>
      </c>
      <c r="F4" s="113">
        <v>57489.430638476006</v>
      </c>
      <c r="G4" s="114" t="s">
        <v>8</v>
      </c>
      <c r="H4" s="113">
        <f t="shared" si="1"/>
        <v>0</v>
      </c>
      <c r="I4" s="113">
        <f t="shared" si="2"/>
        <v>57489.430638476006</v>
      </c>
      <c r="J4" s="111">
        <v>7</v>
      </c>
      <c r="K4" s="115">
        <v>0.87</v>
      </c>
      <c r="L4" s="113">
        <f t="shared" ref="L4:L7" si="4">I4*K4</f>
        <v>50015.804655474123</v>
      </c>
      <c r="M4" s="113">
        <v>0</v>
      </c>
      <c r="N4" s="113">
        <f>M4+L4</f>
        <v>50015.804655474123</v>
      </c>
      <c r="O4" s="116">
        <v>0</v>
      </c>
      <c r="P4" s="112">
        <f>N4+O4</f>
        <v>50015.804655474123</v>
      </c>
      <c r="Q4" s="102"/>
      <c r="R4" s="113">
        <f>IF((P4-E4)&gt;0,P4-E4,0)</f>
        <v>5015.8046554741231</v>
      </c>
      <c r="S4" s="117">
        <f>R4/E4</f>
        <v>0.11146232567720274</v>
      </c>
      <c r="T4" s="102"/>
      <c r="U4" s="118"/>
      <c r="V4" s="102"/>
      <c r="W4" s="118" t="s">
        <v>100</v>
      </c>
      <c r="X4" s="102"/>
      <c r="Y4" s="113">
        <f>IF(AND(W4="YES",(S4&gt;0.1)),(E4*$Y$2),R4)</f>
        <v>4050</v>
      </c>
      <c r="Z4" s="113">
        <f>IF(U4="YES",0,IF(W4="YES",Y4,IF(AND(U4=0,W4=0),R4,)))</f>
        <v>4050</v>
      </c>
      <c r="AA4" s="117">
        <f>Z4/E4</f>
        <v>0.09</v>
      </c>
      <c r="AB4" s="102"/>
      <c r="AC4" s="117">
        <f t="shared" si="3"/>
        <v>0.09</v>
      </c>
      <c r="AD4" s="101"/>
      <c r="AE4" s="113">
        <f>(1+AC4)*E4</f>
        <v>49050</v>
      </c>
      <c r="AF4" s="113">
        <f>AE4-E4</f>
        <v>4050</v>
      </c>
      <c r="AG4" s="113">
        <f>R4-AF4</f>
        <v>965.80465547412314</v>
      </c>
      <c r="AH4" s="101"/>
      <c r="AI4" s="113">
        <f>AE4+D4</f>
        <v>49050</v>
      </c>
    </row>
    <row r="5" spans="1:35" ht="33" customHeight="1">
      <c r="A5" s="134" t="s">
        <v>96</v>
      </c>
      <c r="B5" s="79" t="s">
        <v>64</v>
      </c>
      <c r="C5" s="103">
        <v>67000</v>
      </c>
      <c r="D5" s="104"/>
      <c r="E5" s="104">
        <f t="shared" si="0"/>
        <v>67000</v>
      </c>
      <c r="F5" s="104">
        <v>57489.430638476006</v>
      </c>
      <c r="G5" s="105" t="s">
        <v>70</v>
      </c>
      <c r="H5" s="104">
        <f t="shared" si="1"/>
        <v>5174.0487574628405</v>
      </c>
      <c r="I5" s="104">
        <f t="shared" si="2"/>
        <v>62663.479395938848</v>
      </c>
      <c r="J5" s="106">
        <v>25</v>
      </c>
      <c r="K5" s="107">
        <v>1.1200000000000001</v>
      </c>
      <c r="L5" s="104">
        <f t="shared" si="4"/>
        <v>70183.096923451521</v>
      </c>
      <c r="M5" s="104">
        <v>5000</v>
      </c>
      <c r="N5" s="104">
        <f>M5+L5</f>
        <v>75183.096923451521</v>
      </c>
      <c r="O5" s="108">
        <v>6095.9912262863454</v>
      </c>
      <c r="P5" s="103">
        <f>N5+O5</f>
        <v>81279.088149737872</v>
      </c>
      <c r="Q5" s="102"/>
      <c r="R5" s="104">
        <f>IF((P5-E5)&gt;0,P5-E5,0)</f>
        <v>14279.088149737872</v>
      </c>
      <c r="S5" s="109">
        <f>R5/E5</f>
        <v>0.21312071865280408</v>
      </c>
      <c r="T5" s="102"/>
      <c r="U5" s="110"/>
      <c r="V5" s="102"/>
      <c r="W5" s="110">
        <v>0</v>
      </c>
      <c r="X5" s="102"/>
      <c r="Y5" s="104">
        <f>IF(AND(W5="YES",(S5&gt;0.1)),(E5*$Y$2),R5)</f>
        <v>14279.088149737872</v>
      </c>
      <c r="Z5" s="104">
        <f>IF(U5="YES",0,IF(W5="YES",Y5,IF(AND(U5=0,W5=0),R5,)))</f>
        <v>14279.088149737872</v>
      </c>
      <c r="AA5" s="109">
        <f>Z5/E5</f>
        <v>0.21312071865280408</v>
      </c>
      <c r="AB5" s="102"/>
      <c r="AC5" s="109">
        <f t="shared" si="3"/>
        <v>0.18</v>
      </c>
      <c r="AD5" s="101"/>
      <c r="AE5" s="104">
        <f>(1+AC5)*E5</f>
        <v>79060</v>
      </c>
      <c r="AF5" s="104">
        <f>AE5-E5</f>
        <v>12060</v>
      </c>
      <c r="AG5" s="104">
        <f>R5-AF5</f>
        <v>2219.0881497378723</v>
      </c>
      <c r="AH5" s="101"/>
      <c r="AI5" s="104">
        <f>AE5+D5</f>
        <v>79060</v>
      </c>
    </row>
    <row r="6" spans="1:35" ht="33" customHeight="1">
      <c r="A6" s="135" t="s">
        <v>99</v>
      </c>
      <c r="B6" s="120" t="s">
        <v>66</v>
      </c>
      <c r="C6" s="121">
        <v>72000</v>
      </c>
      <c r="D6" s="122">
        <v>12000</v>
      </c>
      <c r="E6" s="122">
        <f t="shared" si="0"/>
        <v>60000</v>
      </c>
      <c r="F6" s="122">
        <v>55396</v>
      </c>
      <c r="G6" s="123" t="s">
        <v>8</v>
      </c>
      <c r="H6" s="122">
        <v>0</v>
      </c>
      <c r="I6" s="122">
        <f t="shared" si="2"/>
        <v>55396</v>
      </c>
      <c r="J6" s="124">
        <v>20</v>
      </c>
      <c r="K6" s="125">
        <v>1.18</v>
      </c>
      <c r="L6" s="122">
        <f t="shared" si="4"/>
        <v>65367.28</v>
      </c>
      <c r="M6" s="122">
        <v>2000</v>
      </c>
      <c r="N6" s="122">
        <f>M6+L6</f>
        <v>67367.28</v>
      </c>
      <c r="O6" s="126">
        <v>3031</v>
      </c>
      <c r="P6" s="121">
        <f>N6+O6</f>
        <v>70398.28</v>
      </c>
      <c r="Q6" s="102"/>
      <c r="R6" s="122">
        <f>IF((P6-E6)&gt;0,P6-E6,0)</f>
        <v>10398.279999999999</v>
      </c>
      <c r="S6" s="127">
        <f>R6/E6</f>
        <v>0.17330466666666663</v>
      </c>
      <c r="T6" s="102"/>
      <c r="U6" s="128"/>
      <c r="V6" s="102"/>
      <c r="W6" s="128"/>
      <c r="X6" s="102"/>
      <c r="Y6" s="122">
        <f>IF(AND(W6="YES",(S6&gt;0.1)),(E6*$Y$2),R6)</f>
        <v>10398.279999999999</v>
      </c>
      <c r="Z6" s="122">
        <f>IF(U6="YES",0,IF(W6="YES",Y6,IF(AND(U6=0,W6=0),R6,)))</f>
        <v>10398.279999999999</v>
      </c>
      <c r="AA6" s="127">
        <f>Z6/E6</f>
        <v>0.17330466666666663</v>
      </c>
      <c r="AB6" s="102"/>
      <c r="AC6" s="127">
        <f t="shared" si="3"/>
        <v>0.17330466666666663</v>
      </c>
      <c r="AD6" s="101"/>
      <c r="AE6" s="122">
        <f>(1+AC6)*E6</f>
        <v>70398.28</v>
      </c>
      <c r="AF6" s="122">
        <f>AE6-E6</f>
        <v>10398.279999999999</v>
      </c>
      <c r="AG6" s="122">
        <v>0</v>
      </c>
      <c r="AH6" s="101"/>
      <c r="AI6" s="122">
        <f>AE6+D6</f>
        <v>82398.28</v>
      </c>
    </row>
    <row r="7" spans="1:35" ht="33" customHeight="1">
      <c r="A7" s="134" t="s">
        <v>97</v>
      </c>
      <c r="B7" s="5" t="s">
        <v>64</v>
      </c>
      <c r="C7" s="11">
        <v>58000.09</v>
      </c>
      <c r="D7" s="6"/>
      <c r="E7" s="6">
        <f t="shared" si="0"/>
        <v>58000.09</v>
      </c>
      <c r="F7" s="6">
        <v>57489.430638476006</v>
      </c>
      <c r="G7" s="7" t="s">
        <v>70</v>
      </c>
      <c r="H7" s="6">
        <f t="shared" si="1"/>
        <v>5174.0487574628405</v>
      </c>
      <c r="I7" s="6">
        <f t="shared" si="2"/>
        <v>62663.479395938848</v>
      </c>
      <c r="J7" s="8">
        <v>9</v>
      </c>
      <c r="K7" s="77">
        <v>0.96</v>
      </c>
      <c r="L7" s="6">
        <f t="shared" si="4"/>
        <v>60156.940220101293</v>
      </c>
      <c r="M7" s="6">
        <v>0</v>
      </c>
      <c r="N7" s="6">
        <f>M7+L7</f>
        <v>60156.940220101293</v>
      </c>
      <c r="O7" s="78">
        <v>4122.6064140960707</v>
      </c>
      <c r="P7" s="11">
        <f>N7+O7</f>
        <v>64279.546634197366</v>
      </c>
      <c r="Q7" s="102"/>
      <c r="R7" s="6">
        <f>IF((P7-E7)&gt;0,P7-E7,0)</f>
        <v>6279.4566341973696</v>
      </c>
      <c r="S7" s="10">
        <f>R7/E7</f>
        <v>0.1082663256935872</v>
      </c>
      <c r="T7" s="102"/>
      <c r="U7" s="9"/>
      <c r="V7" s="102"/>
      <c r="W7" s="9">
        <v>0</v>
      </c>
      <c r="X7" s="102"/>
      <c r="Y7" s="6">
        <f>IF(AND(W7="YES",(S7&gt;0.1)),(E7*$Y$2),R7)</f>
        <v>6279.4566341973696</v>
      </c>
      <c r="Z7" s="6">
        <f>IF(U7="YES",0,IF(W7="YES",Y7,IF(AND(U7=0,W7=0),R7,)))</f>
        <v>6279.4566341973696</v>
      </c>
      <c r="AA7" s="10">
        <f>Z7/E7</f>
        <v>0.1082663256935872</v>
      </c>
      <c r="AB7" s="102"/>
      <c r="AC7" s="10">
        <f t="shared" si="3"/>
        <v>0.1082663256935872</v>
      </c>
      <c r="AD7" s="101"/>
      <c r="AE7" s="6">
        <f>(1+AC7)*E7</f>
        <v>64279.546634197366</v>
      </c>
      <c r="AF7" s="6">
        <f>AE7-E7</f>
        <v>6279.4566341973696</v>
      </c>
      <c r="AG7" s="6">
        <f>R7-AF7</f>
        <v>0</v>
      </c>
      <c r="AH7" s="101"/>
      <c r="AI7" s="6">
        <f>AE7+D7</f>
        <v>64279.546634197366</v>
      </c>
    </row>
  </sheetData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view="pageBreakPreview" topLeftCell="A24" zoomScaleNormal="85" zoomScaleSheetLayoutView="100" workbookViewId="0">
      <selection activeCell="A26" sqref="A26"/>
    </sheetView>
  </sheetViews>
  <sheetFormatPr defaultColWidth="9.140625" defaultRowHeight="15"/>
  <cols>
    <col min="1" max="1" width="23.28515625" style="14" customWidth="1"/>
    <col min="2" max="11" width="9.42578125" style="15" customWidth="1"/>
    <col min="12" max="16384" width="9.140625" style="14"/>
  </cols>
  <sheetData>
    <row r="1" spans="1:11" hidden="1"/>
    <row r="2" spans="1:11" hidden="1">
      <c r="A2" s="22" t="s">
        <v>2</v>
      </c>
      <c r="B2" s="23" t="s">
        <v>9</v>
      </c>
      <c r="C2" s="23" t="s">
        <v>10</v>
      </c>
      <c r="D2" s="23" t="s">
        <v>11</v>
      </c>
      <c r="E2" s="23" t="s">
        <v>12</v>
      </c>
      <c r="F2" s="23" t="s">
        <v>13</v>
      </c>
      <c r="G2" s="23" t="s">
        <v>14</v>
      </c>
      <c r="H2" s="23" t="s">
        <v>15</v>
      </c>
      <c r="I2" s="23" t="s">
        <v>16</v>
      </c>
      <c r="J2" s="23" t="s">
        <v>17</v>
      </c>
      <c r="K2" s="23" t="s">
        <v>18</v>
      </c>
    </row>
    <row r="3" spans="1:11" hidden="1"/>
    <row r="4" spans="1:11" hidden="1">
      <c r="A4" s="14" t="s">
        <v>60</v>
      </c>
      <c r="B4" s="15">
        <v>0.79</v>
      </c>
      <c r="C4" s="15">
        <v>0.87</v>
      </c>
      <c r="D4" s="15">
        <v>0.96</v>
      </c>
      <c r="E4" s="15">
        <v>1</v>
      </c>
      <c r="F4" s="15">
        <v>1.04</v>
      </c>
      <c r="G4" s="15">
        <v>1.08</v>
      </c>
      <c r="H4" s="15">
        <v>1.1200000000000001</v>
      </c>
      <c r="I4" s="15">
        <v>1.1600000000000001</v>
      </c>
      <c r="J4" s="15">
        <v>1.2000000000000002</v>
      </c>
      <c r="K4" s="15">
        <v>1.2400000000000002</v>
      </c>
    </row>
    <row r="5" spans="1:11" hidden="1"/>
    <row r="6" spans="1:11" hidden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idden="1"/>
    <row r="8" spans="1:11" hidden="1">
      <c r="A8" s="14" t="s">
        <v>74</v>
      </c>
      <c r="B8" s="30">
        <f>'Combined MidPTS'!B4</f>
        <v>57489.430638476006</v>
      </c>
    </row>
    <row r="9" spans="1:11" hidden="1">
      <c r="A9" s="24" t="s">
        <v>30</v>
      </c>
      <c r="B9" s="18" t="e">
        <f>'Combined MidPTS'!#REF!</f>
        <v>#REF!</v>
      </c>
    </row>
    <row r="10" spans="1:11" hidden="1">
      <c r="A10" s="24" t="s">
        <v>5</v>
      </c>
      <c r="B10" s="18" t="e">
        <f>'Combined MidPTS'!#REF!</f>
        <v>#REF!</v>
      </c>
    </row>
    <row r="11" spans="1:11" hidden="1">
      <c r="A11" s="24" t="s">
        <v>6</v>
      </c>
      <c r="B11" s="18">
        <f>'Combined MidPTS'!B5</f>
        <v>55396.0906586282</v>
      </c>
    </row>
    <row r="12" spans="1:11" hidden="1">
      <c r="A12" s="24" t="s">
        <v>1</v>
      </c>
      <c r="B12" s="18">
        <f>'Combined MidPTS'!B6</f>
        <v>55855.10677888678</v>
      </c>
    </row>
    <row r="13" spans="1:11" hidden="1">
      <c r="A13" s="25" t="s">
        <v>21</v>
      </c>
      <c r="B13" s="18">
        <f>'Combined MidPTS'!B7</f>
        <v>57374.794370450865</v>
      </c>
    </row>
    <row r="14" spans="1:11" hidden="1">
      <c r="A14" s="25" t="s">
        <v>31</v>
      </c>
      <c r="B14" s="18">
        <f>'Combined MidPTS'!B8</f>
        <v>55041.5331780333</v>
      </c>
    </row>
    <row r="15" spans="1:11" hidden="1">
      <c r="A15" s="25" t="s">
        <v>33</v>
      </c>
      <c r="B15" s="18">
        <f>'Combined MidPTS'!B10</f>
        <v>67407.12526880439</v>
      </c>
    </row>
    <row r="16" spans="1:11" hidden="1">
      <c r="A16" s="25" t="s">
        <v>34</v>
      </c>
      <c r="B16" s="18">
        <f>'Combined MidPTS'!B11</f>
        <v>61069.266119158783</v>
      </c>
    </row>
    <row r="17" spans="1:11" hidden="1">
      <c r="A17" s="25" t="s">
        <v>35</v>
      </c>
      <c r="B17" s="18">
        <f>'Combined MidPTS'!B12</f>
        <v>58644.193752066669</v>
      </c>
    </row>
    <row r="18" spans="1:11" hidden="1">
      <c r="A18" s="25" t="s">
        <v>36</v>
      </c>
      <c r="B18" s="18">
        <f>'Combined MidPTS'!B13</f>
        <v>62682.105550889362</v>
      </c>
    </row>
    <row r="19" spans="1:11" hidden="1">
      <c r="A19" s="25" t="s">
        <v>37</v>
      </c>
      <c r="B19" s="18">
        <f>'Combined MidPTS'!B14</f>
        <v>51413.096589936933</v>
      </c>
    </row>
    <row r="20" spans="1:11" hidden="1">
      <c r="A20" s="25" t="s">
        <v>38</v>
      </c>
      <c r="B20" s="18">
        <f>'Combined MidPTS'!B15</f>
        <v>59552.737427856016</v>
      </c>
    </row>
    <row r="21" spans="1:11" hidden="1">
      <c r="A21" s="25"/>
      <c r="B21" s="18"/>
    </row>
    <row r="22" spans="1:11" hidden="1">
      <c r="A22" s="26"/>
      <c r="B22" s="19"/>
      <c r="C22" s="17"/>
      <c r="D22" s="17"/>
      <c r="E22" s="17"/>
      <c r="F22" s="17"/>
      <c r="G22" s="17"/>
      <c r="H22" s="17"/>
      <c r="I22" s="17"/>
      <c r="J22" s="17"/>
      <c r="K22" s="17"/>
    </row>
    <row r="23" spans="1:11" hidden="1">
      <c r="A23" s="26"/>
      <c r="B23" s="19"/>
      <c r="C23" s="17"/>
      <c r="D23" s="17"/>
      <c r="E23" s="17"/>
      <c r="F23" s="17"/>
      <c r="G23" s="17"/>
      <c r="H23" s="17"/>
      <c r="I23" s="17"/>
      <c r="J23" s="17"/>
      <c r="K23" s="17"/>
    </row>
    <row r="24" spans="1:11"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26.25">
      <c r="A25" s="167" t="s">
        <v>92</v>
      </c>
    </row>
    <row r="27" spans="1:11">
      <c r="A27" s="27" t="s">
        <v>78</v>
      </c>
    </row>
    <row r="28" spans="1:11" s="66" customFormat="1" ht="30">
      <c r="A28" s="70">
        <v>-1.0900000000000001</v>
      </c>
      <c r="B28" s="71" t="s">
        <v>9</v>
      </c>
      <c r="C28" s="71" t="s">
        <v>10</v>
      </c>
      <c r="D28" s="71" t="s">
        <v>11</v>
      </c>
      <c r="E28" s="71" t="s">
        <v>12</v>
      </c>
      <c r="F28" s="71" t="s">
        <v>13</v>
      </c>
      <c r="G28" s="71" t="s">
        <v>14</v>
      </c>
      <c r="H28" s="71" t="s">
        <v>15</v>
      </c>
      <c r="I28" s="71" t="s">
        <v>16</v>
      </c>
      <c r="J28" s="71" t="s">
        <v>17</v>
      </c>
      <c r="K28" s="71" t="s">
        <v>18</v>
      </c>
    </row>
    <row r="29" spans="1:11" s="20" customFormat="1">
      <c r="B29" s="72">
        <v>0.79</v>
      </c>
      <c r="C29" s="72">
        <v>0.87</v>
      </c>
      <c r="D29" s="73">
        <v>0.88</v>
      </c>
      <c r="E29" s="73">
        <v>0.92</v>
      </c>
      <c r="F29" s="73">
        <v>0.95</v>
      </c>
      <c r="G29" s="73">
        <v>0.99</v>
      </c>
      <c r="H29" s="73">
        <v>1.03</v>
      </c>
      <c r="I29" s="73">
        <v>1.06</v>
      </c>
      <c r="J29" s="73">
        <v>1.1000000000000001</v>
      </c>
      <c r="K29" s="73">
        <v>1.1399999999999999</v>
      </c>
    </row>
    <row r="30" spans="1:11" s="20" customFormat="1" ht="28.15" customHeight="1">
      <c r="A30" s="83" t="s">
        <v>89</v>
      </c>
      <c r="B30" s="74">
        <f t="shared" ref="B30:K31" si="0">B$29*$E47</f>
        <v>45416.65020439605</v>
      </c>
      <c r="C30" s="74">
        <f t="shared" si="0"/>
        <v>50015.804655474123</v>
      </c>
      <c r="D30" s="74">
        <f t="shared" si="0"/>
        <v>50590.698961858885</v>
      </c>
      <c r="E30" s="74">
        <f t="shared" si="0"/>
        <v>52890.276187397925</v>
      </c>
      <c r="F30" s="74">
        <f t="shared" si="0"/>
        <v>54614.959106552204</v>
      </c>
      <c r="G30" s="74">
        <f t="shared" si="0"/>
        <v>56914.536332091244</v>
      </c>
      <c r="H30" s="74">
        <f t="shared" si="0"/>
        <v>59214.113557630284</v>
      </c>
      <c r="I30" s="74">
        <f t="shared" si="0"/>
        <v>60938.79647678457</v>
      </c>
      <c r="J30" s="74">
        <f t="shared" si="0"/>
        <v>63238.37370232361</v>
      </c>
      <c r="K30" s="74">
        <f t="shared" si="0"/>
        <v>65537.950927862636</v>
      </c>
    </row>
    <row r="31" spans="1:11" ht="30" hidden="1">
      <c r="A31" s="81" t="s">
        <v>30</v>
      </c>
      <c r="B31" s="63" t="e">
        <f t="shared" si="0"/>
        <v>#REF!</v>
      </c>
      <c r="C31" s="63" t="e">
        <f t="shared" si="0"/>
        <v>#REF!</v>
      </c>
      <c r="D31" s="63" t="e">
        <f t="shared" si="0"/>
        <v>#REF!</v>
      </c>
      <c r="E31" s="63" t="e">
        <f t="shared" si="0"/>
        <v>#REF!</v>
      </c>
      <c r="F31" s="63" t="e">
        <f t="shared" si="0"/>
        <v>#REF!</v>
      </c>
      <c r="G31" s="63" t="e">
        <f t="shared" si="0"/>
        <v>#REF!</v>
      </c>
      <c r="H31" s="63" t="e">
        <f t="shared" si="0"/>
        <v>#REF!</v>
      </c>
      <c r="I31" s="63" t="e">
        <f t="shared" si="0"/>
        <v>#REF!</v>
      </c>
      <c r="J31" s="63" t="e">
        <f t="shared" si="0"/>
        <v>#REF!</v>
      </c>
      <c r="K31" s="63" t="e">
        <f t="shared" si="0"/>
        <v>#REF!</v>
      </c>
    </row>
    <row r="32" spans="1:11" hidden="1">
      <c r="A32" s="81" t="s">
        <v>5</v>
      </c>
      <c r="B32" s="63" t="e">
        <f t="shared" ref="B32:K32" si="1">B$29*$E49</f>
        <v>#REF!</v>
      </c>
      <c r="C32" s="63" t="e">
        <f t="shared" si="1"/>
        <v>#REF!</v>
      </c>
      <c r="D32" s="63" t="e">
        <f t="shared" si="1"/>
        <v>#REF!</v>
      </c>
      <c r="E32" s="63" t="e">
        <f t="shared" si="1"/>
        <v>#REF!</v>
      </c>
      <c r="F32" s="63" t="e">
        <f t="shared" si="1"/>
        <v>#REF!</v>
      </c>
      <c r="G32" s="63" t="e">
        <f t="shared" si="1"/>
        <v>#REF!</v>
      </c>
      <c r="H32" s="63" t="e">
        <f t="shared" si="1"/>
        <v>#REF!</v>
      </c>
      <c r="I32" s="63" t="e">
        <f t="shared" si="1"/>
        <v>#REF!</v>
      </c>
      <c r="J32" s="63" t="e">
        <f t="shared" si="1"/>
        <v>#REF!</v>
      </c>
      <c r="K32" s="63" t="e">
        <f t="shared" si="1"/>
        <v>#REF!</v>
      </c>
    </row>
    <row r="33" spans="1:11" ht="28.15" customHeight="1">
      <c r="A33" s="39" t="s">
        <v>6</v>
      </c>
      <c r="B33" s="74">
        <f t="shared" ref="B33:K33" si="2">B$29*$E50</f>
        <v>43762.911620316278</v>
      </c>
      <c r="C33" s="74">
        <f t="shared" si="2"/>
        <v>48194.598873006536</v>
      </c>
      <c r="D33" s="74">
        <f t="shared" si="2"/>
        <v>48748.559779592819</v>
      </c>
      <c r="E33" s="74">
        <f t="shared" si="2"/>
        <v>50964.403405937948</v>
      </c>
      <c r="F33" s="74">
        <f t="shared" si="2"/>
        <v>52626.286125696788</v>
      </c>
      <c r="G33" s="74">
        <f t="shared" si="2"/>
        <v>54842.129752041918</v>
      </c>
      <c r="H33" s="74">
        <f t="shared" si="2"/>
        <v>57057.973378387047</v>
      </c>
      <c r="I33" s="74">
        <f t="shared" si="2"/>
        <v>58719.856098145894</v>
      </c>
      <c r="J33" s="74">
        <f t="shared" si="2"/>
        <v>60935.699724491024</v>
      </c>
      <c r="K33" s="74">
        <f t="shared" si="2"/>
        <v>63151.543350836146</v>
      </c>
    </row>
    <row r="34" spans="1:11" ht="28.15" customHeight="1">
      <c r="A34" s="39" t="s">
        <v>1</v>
      </c>
      <c r="B34" s="74">
        <f t="shared" ref="B34:K34" si="3">B$29*$E51</f>
        <v>44125.53435532056</v>
      </c>
      <c r="C34" s="74">
        <f t="shared" si="3"/>
        <v>48593.942897631496</v>
      </c>
      <c r="D34" s="74">
        <f t="shared" si="3"/>
        <v>49152.49396542037</v>
      </c>
      <c r="E34" s="74">
        <f t="shared" si="3"/>
        <v>51386.698236575838</v>
      </c>
      <c r="F34" s="74">
        <f t="shared" si="3"/>
        <v>53062.351439942438</v>
      </c>
      <c r="G34" s="74">
        <f t="shared" si="3"/>
        <v>55296.555711097913</v>
      </c>
      <c r="H34" s="74">
        <f t="shared" si="3"/>
        <v>57530.759982253388</v>
      </c>
      <c r="I34" s="74">
        <f t="shared" si="3"/>
        <v>59206.413185619989</v>
      </c>
      <c r="J34" s="74">
        <f t="shared" si="3"/>
        <v>61440.617456775464</v>
      </c>
      <c r="K34" s="74">
        <f t="shared" si="3"/>
        <v>63674.821727930925</v>
      </c>
    </row>
    <row r="35" spans="1:11" ht="28.15" customHeight="1">
      <c r="A35" s="82" t="s">
        <v>21</v>
      </c>
      <c r="B35" s="74">
        <f t="shared" ref="B35:K35" si="4">B$29*$E52</f>
        <v>45326.087552656187</v>
      </c>
      <c r="C35" s="74">
        <f t="shared" si="4"/>
        <v>49916.071102292255</v>
      </c>
      <c r="D35" s="74">
        <f t="shared" si="4"/>
        <v>50489.819045996759</v>
      </c>
      <c r="E35" s="74">
        <f t="shared" si="4"/>
        <v>52784.810820814797</v>
      </c>
      <c r="F35" s="74">
        <f t="shared" si="4"/>
        <v>54506.054651928316</v>
      </c>
      <c r="G35" s="74">
        <f t="shared" si="4"/>
        <v>56801.046426746354</v>
      </c>
      <c r="H35" s="74">
        <f t="shared" si="4"/>
        <v>59096.038201564392</v>
      </c>
      <c r="I35" s="74">
        <f t="shared" si="4"/>
        <v>60817.282032677918</v>
      </c>
      <c r="J35" s="74">
        <f t="shared" si="4"/>
        <v>63112.273807495956</v>
      </c>
      <c r="K35" s="74">
        <f t="shared" si="4"/>
        <v>65407.265582313979</v>
      </c>
    </row>
    <row r="36" spans="1:11" ht="28.15" customHeight="1">
      <c r="A36" s="82" t="s">
        <v>87</v>
      </c>
      <c r="B36" s="74">
        <f t="shared" ref="B36:K36" si="5">B$29*$E53</f>
        <v>43482.811210646309</v>
      </c>
      <c r="C36" s="74">
        <f t="shared" si="5"/>
        <v>47886.133864888972</v>
      </c>
      <c r="D36" s="74">
        <f t="shared" si="5"/>
        <v>48436.549196669301</v>
      </c>
      <c r="E36" s="74">
        <f t="shared" si="5"/>
        <v>50638.210523790636</v>
      </c>
      <c r="F36" s="74">
        <f t="shared" si="5"/>
        <v>52289.456519131636</v>
      </c>
      <c r="G36" s="74">
        <f t="shared" si="5"/>
        <v>54491.117846252964</v>
      </c>
      <c r="H36" s="74">
        <f t="shared" si="5"/>
        <v>56692.7791733743</v>
      </c>
      <c r="I36" s="74">
        <f t="shared" si="5"/>
        <v>58344.0251687153</v>
      </c>
      <c r="J36" s="74">
        <f t="shared" si="5"/>
        <v>60545.686495836635</v>
      </c>
      <c r="K36" s="74">
        <f t="shared" si="5"/>
        <v>62747.347822957956</v>
      </c>
    </row>
    <row r="37" spans="1:11" ht="28.15" customHeight="1">
      <c r="A37" s="82" t="s">
        <v>33</v>
      </c>
      <c r="B37" s="74">
        <f t="shared" ref="B37:K37" si="6">B$29*$E54</f>
        <v>53251.628962355469</v>
      </c>
      <c r="C37" s="74">
        <f t="shared" si="6"/>
        <v>58644.198983859817</v>
      </c>
      <c r="D37" s="74">
        <f t="shared" si="6"/>
        <v>59318.270236547862</v>
      </c>
      <c r="E37" s="74">
        <f t="shared" si="6"/>
        <v>62014.555247300043</v>
      </c>
      <c r="F37" s="74">
        <f t="shared" si="6"/>
        <v>64036.769005364164</v>
      </c>
      <c r="G37" s="74">
        <f t="shared" si="6"/>
        <v>66733.054016116352</v>
      </c>
      <c r="H37" s="74">
        <f t="shared" si="6"/>
        <v>69429.339026868518</v>
      </c>
      <c r="I37" s="74">
        <f t="shared" si="6"/>
        <v>71451.552784932661</v>
      </c>
      <c r="J37" s="74">
        <f t="shared" si="6"/>
        <v>74147.837795684842</v>
      </c>
      <c r="K37" s="74">
        <f t="shared" si="6"/>
        <v>76844.122806436993</v>
      </c>
    </row>
    <row r="38" spans="1:11" ht="28.15" customHeight="1">
      <c r="A38" s="82" t="s">
        <v>34</v>
      </c>
      <c r="B38" s="74">
        <f t="shared" ref="B38:K38" si="7">B$29*$E55</f>
        <v>48244.720234135442</v>
      </c>
      <c r="C38" s="74">
        <f t="shared" si="7"/>
        <v>53130.261523668138</v>
      </c>
      <c r="D38" s="74">
        <f t="shared" si="7"/>
        <v>53740.954184859729</v>
      </c>
      <c r="E38" s="74">
        <f t="shared" si="7"/>
        <v>56183.72482962608</v>
      </c>
      <c r="F38" s="74">
        <f t="shared" si="7"/>
        <v>58015.80281320084</v>
      </c>
      <c r="G38" s="74">
        <f t="shared" si="7"/>
        <v>60458.573457967192</v>
      </c>
      <c r="H38" s="74">
        <f t="shared" si="7"/>
        <v>62901.34410273355</v>
      </c>
      <c r="I38" s="74">
        <f t="shared" si="7"/>
        <v>64733.42208630831</v>
      </c>
      <c r="J38" s="74">
        <f t="shared" si="7"/>
        <v>67176.192731074669</v>
      </c>
      <c r="K38" s="74">
        <f t="shared" si="7"/>
        <v>69618.963375841005</v>
      </c>
    </row>
    <row r="39" spans="1:11" ht="28.15" customHeight="1">
      <c r="A39" s="82" t="s">
        <v>35</v>
      </c>
      <c r="B39" s="74">
        <f t="shared" ref="B39:K39" si="8">B$29*$E56</f>
        <v>46328.91306413267</v>
      </c>
      <c r="C39" s="74">
        <f t="shared" si="8"/>
        <v>51020.448564298</v>
      </c>
      <c r="D39" s="74">
        <f t="shared" si="8"/>
        <v>51606.890501818671</v>
      </c>
      <c r="E39" s="74">
        <f t="shared" si="8"/>
        <v>53952.658251901339</v>
      </c>
      <c r="F39" s="74">
        <f t="shared" si="8"/>
        <v>55711.98406446333</v>
      </c>
      <c r="G39" s="74">
        <f t="shared" si="8"/>
        <v>58057.751814545998</v>
      </c>
      <c r="H39" s="74">
        <f t="shared" si="8"/>
        <v>60403.519564628674</v>
      </c>
      <c r="I39" s="74">
        <f t="shared" si="8"/>
        <v>62162.845377190672</v>
      </c>
      <c r="J39" s="74">
        <f t="shared" si="8"/>
        <v>64508.61312727334</v>
      </c>
      <c r="K39" s="74">
        <f t="shared" si="8"/>
        <v>66854.380877356001</v>
      </c>
    </row>
    <row r="40" spans="1:11" ht="28.15" customHeight="1">
      <c r="A40" s="82" t="s">
        <v>36</v>
      </c>
      <c r="B40" s="74">
        <f t="shared" ref="B40:K40" si="9">B$29*$E57</f>
        <v>49518.863385202596</v>
      </c>
      <c r="C40" s="74">
        <f t="shared" si="9"/>
        <v>54533.431829273744</v>
      </c>
      <c r="D40" s="74">
        <f t="shared" si="9"/>
        <v>55160.25288478264</v>
      </c>
      <c r="E40" s="74">
        <f t="shared" si="9"/>
        <v>57667.537106818214</v>
      </c>
      <c r="F40" s="74">
        <f t="shared" si="9"/>
        <v>59548.000273344893</v>
      </c>
      <c r="G40" s="74">
        <f t="shared" si="9"/>
        <v>62055.284495380467</v>
      </c>
      <c r="H40" s="74">
        <f t="shared" si="9"/>
        <v>64562.568717416048</v>
      </c>
      <c r="I40" s="74">
        <f t="shared" si="9"/>
        <v>66443.031883942735</v>
      </c>
      <c r="J40" s="74">
        <f t="shared" si="9"/>
        <v>68950.316105978301</v>
      </c>
      <c r="K40" s="74">
        <f t="shared" si="9"/>
        <v>71457.600328013868</v>
      </c>
    </row>
    <row r="41" spans="1:11" ht="28.15" customHeight="1">
      <c r="A41" s="82" t="s">
        <v>38</v>
      </c>
      <c r="B41" s="74">
        <f t="shared" ref="B41:K41" si="10">B$29*$E58</f>
        <v>47046.662568006257</v>
      </c>
      <c r="C41" s="74">
        <f t="shared" si="10"/>
        <v>51810.881562234732</v>
      </c>
      <c r="D41" s="74">
        <f t="shared" si="10"/>
        <v>52406.408936513297</v>
      </c>
      <c r="E41" s="74">
        <f t="shared" si="10"/>
        <v>54788.518433627534</v>
      </c>
      <c r="F41" s="74">
        <f t="shared" si="10"/>
        <v>56575.100556463214</v>
      </c>
      <c r="G41" s="74">
        <f t="shared" si="10"/>
        <v>58957.210053577459</v>
      </c>
      <c r="H41" s="74">
        <f t="shared" si="10"/>
        <v>61339.319550691696</v>
      </c>
      <c r="I41" s="74">
        <f t="shared" si="10"/>
        <v>63125.901673527384</v>
      </c>
      <c r="J41" s="74">
        <f t="shared" si="10"/>
        <v>65508.011170641621</v>
      </c>
      <c r="K41" s="74">
        <f t="shared" si="10"/>
        <v>67890.120667755851</v>
      </c>
    </row>
    <row r="44" spans="1:11" ht="15.75" thickBot="1">
      <c r="A44" s="27" t="s">
        <v>61</v>
      </c>
      <c r="E44" s="2" t="s">
        <v>93</v>
      </c>
    </row>
    <row r="45" spans="1:11" s="66" customFormat="1" ht="30">
      <c r="B45" s="67"/>
      <c r="C45" s="67"/>
      <c r="D45" s="84" t="s">
        <v>11</v>
      </c>
      <c r="E45" s="92" t="s">
        <v>12</v>
      </c>
      <c r="F45" s="88" t="s">
        <v>13</v>
      </c>
      <c r="G45" s="71" t="s">
        <v>14</v>
      </c>
      <c r="H45" s="71" t="s">
        <v>15</v>
      </c>
      <c r="I45" s="71" t="s">
        <v>16</v>
      </c>
      <c r="J45" s="71" t="s">
        <v>17</v>
      </c>
      <c r="K45" s="71" t="s">
        <v>18</v>
      </c>
    </row>
    <row r="46" spans="1:11" s="20" customFormat="1">
      <c r="B46" s="29"/>
      <c r="C46" s="29"/>
      <c r="D46" s="85">
        <v>0.96</v>
      </c>
      <c r="E46" s="93">
        <v>1</v>
      </c>
      <c r="F46" s="89">
        <v>1.04</v>
      </c>
      <c r="G46" s="72">
        <v>1.08</v>
      </c>
      <c r="H46" s="72">
        <v>1.1200000000000001</v>
      </c>
      <c r="I46" s="72">
        <v>1.1600000000000001</v>
      </c>
      <c r="J46" s="72">
        <v>1.2000000000000002</v>
      </c>
      <c r="K46" s="72">
        <v>1.2400000000000002</v>
      </c>
    </row>
    <row r="47" spans="1:11" s="20" customFormat="1" ht="45">
      <c r="A47" s="39" t="s">
        <v>89</v>
      </c>
      <c r="B47" s="29"/>
      <c r="C47" s="29"/>
      <c r="D47" s="86">
        <f t="shared" ref="D47:D58" si="11">$E47*D$46</f>
        <v>55189.853412936965</v>
      </c>
      <c r="E47" s="94">
        <f t="shared" ref="E47:E57" si="12">B8</f>
        <v>57489.430638476006</v>
      </c>
      <c r="F47" s="90">
        <f t="shared" ref="F47:K58" si="13">$E47*F$46</f>
        <v>59789.007864015046</v>
      </c>
      <c r="G47" s="74">
        <f t="shared" si="13"/>
        <v>62088.585089554093</v>
      </c>
      <c r="H47" s="74">
        <f t="shared" si="13"/>
        <v>64388.162315093134</v>
      </c>
      <c r="I47" s="74">
        <f t="shared" si="13"/>
        <v>66687.739540632174</v>
      </c>
      <c r="J47" s="74">
        <f t="shared" si="13"/>
        <v>68987.316766171221</v>
      </c>
      <c r="K47" s="74">
        <f t="shared" si="13"/>
        <v>71286.893991710254</v>
      </c>
    </row>
    <row r="48" spans="1:11" ht="30" hidden="1">
      <c r="A48" s="39" t="s">
        <v>30</v>
      </c>
      <c r="B48" s="31"/>
      <c r="C48" s="31"/>
      <c r="D48" s="87" t="e">
        <f t="shared" si="11"/>
        <v>#REF!</v>
      </c>
      <c r="E48" s="95" t="e">
        <f t="shared" si="12"/>
        <v>#REF!</v>
      </c>
      <c r="F48" s="91" t="e">
        <f t="shared" si="13"/>
        <v>#REF!</v>
      </c>
      <c r="G48" s="63" t="e">
        <f t="shared" si="13"/>
        <v>#REF!</v>
      </c>
      <c r="H48" s="63" t="e">
        <f t="shared" si="13"/>
        <v>#REF!</v>
      </c>
      <c r="I48" s="63" t="e">
        <f t="shared" si="13"/>
        <v>#REF!</v>
      </c>
      <c r="J48" s="63" t="e">
        <f t="shared" si="13"/>
        <v>#REF!</v>
      </c>
      <c r="K48" s="63" t="e">
        <f t="shared" si="13"/>
        <v>#REF!</v>
      </c>
    </row>
    <row r="49" spans="1:11" hidden="1">
      <c r="A49" s="39" t="s">
        <v>5</v>
      </c>
      <c r="B49" s="31"/>
      <c r="C49" s="31"/>
      <c r="D49" s="87" t="e">
        <f t="shared" si="11"/>
        <v>#REF!</v>
      </c>
      <c r="E49" s="95" t="e">
        <f t="shared" si="12"/>
        <v>#REF!</v>
      </c>
      <c r="F49" s="91" t="e">
        <f t="shared" si="13"/>
        <v>#REF!</v>
      </c>
      <c r="G49" s="63" t="e">
        <f t="shared" si="13"/>
        <v>#REF!</v>
      </c>
      <c r="H49" s="63" t="e">
        <f t="shared" si="13"/>
        <v>#REF!</v>
      </c>
      <c r="I49" s="63" t="e">
        <f t="shared" si="13"/>
        <v>#REF!</v>
      </c>
      <c r="J49" s="63" t="e">
        <f t="shared" si="13"/>
        <v>#REF!</v>
      </c>
      <c r="K49" s="63" t="e">
        <f t="shared" si="13"/>
        <v>#REF!</v>
      </c>
    </row>
    <row r="50" spans="1:11" ht="28.15" customHeight="1">
      <c r="A50" s="39" t="s">
        <v>6</v>
      </c>
      <c r="B50" s="21"/>
      <c r="C50" s="21"/>
      <c r="D50" s="86">
        <f t="shared" si="11"/>
        <v>53180.24703228307</v>
      </c>
      <c r="E50" s="94">
        <f t="shared" si="12"/>
        <v>55396.0906586282</v>
      </c>
      <c r="F50" s="90">
        <f t="shared" si="13"/>
        <v>57611.934284973329</v>
      </c>
      <c r="G50" s="74">
        <f t="shared" si="13"/>
        <v>59827.777911318459</v>
      </c>
      <c r="H50" s="74">
        <f t="shared" si="13"/>
        <v>62043.621537663588</v>
      </c>
      <c r="I50" s="74">
        <f t="shared" si="13"/>
        <v>64259.465164008718</v>
      </c>
      <c r="J50" s="74">
        <f t="shared" si="13"/>
        <v>66475.308790353854</v>
      </c>
      <c r="K50" s="74">
        <f t="shared" si="13"/>
        <v>68691.152416698984</v>
      </c>
    </row>
    <row r="51" spans="1:11" ht="28.15" customHeight="1">
      <c r="A51" s="39" t="s">
        <v>1</v>
      </c>
      <c r="B51" s="21"/>
      <c r="C51" s="21"/>
      <c r="D51" s="86">
        <f t="shared" si="11"/>
        <v>53620.902507731305</v>
      </c>
      <c r="E51" s="94">
        <f t="shared" si="12"/>
        <v>55855.10677888678</v>
      </c>
      <c r="F51" s="90">
        <f t="shared" si="13"/>
        <v>58089.311050042255</v>
      </c>
      <c r="G51" s="74">
        <f t="shared" si="13"/>
        <v>60323.51532119773</v>
      </c>
      <c r="H51" s="74">
        <f t="shared" si="13"/>
        <v>62557.719592353198</v>
      </c>
      <c r="I51" s="74">
        <f t="shared" si="13"/>
        <v>64791.923863508673</v>
      </c>
      <c r="J51" s="74">
        <f t="shared" si="13"/>
        <v>67026.128134664148</v>
      </c>
      <c r="K51" s="74">
        <f t="shared" si="13"/>
        <v>69260.332405819616</v>
      </c>
    </row>
    <row r="52" spans="1:11" ht="28.15" customHeight="1">
      <c r="A52" s="39" t="s">
        <v>21</v>
      </c>
      <c r="B52" s="21"/>
      <c r="C52" s="21"/>
      <c r="D52" s="86">
        <f t="shared" si="11"/>
        <v>55079.802595632827</v>
      </c>
      <c r="E52" s="94">
        <f t="shared" si="12"/>
        <v>57374.794370450865</v>
      </c>
      <c r="F52" s="90">
        <f t="shared" si="13"/>
        <v>59669.786145268903</v>
      </c>
      <c r="G52" s="74">
        <f t="shared" si="13"/>
        <v>61964.777920086941</v>
      </c>
      <c r="H52" s="74">
        <f t="shared" si="13"/>
        <v>64259.769694904979</v>
      </c>
      <c r="I52" s="74">
        <f t="shared" si="13"/>
        <v>66554.761469723016</v>
      </c>
      <c r="J52" s="74">
        <f t="shared" si="13"/>
        <v>68849.753244541047</v>
      </c>
      <c r="K52" s="74">
        <f t="shared" si="13"/>
        <v>71144.745019359092</v>
      </c>
    </row>
    <row r="53" spans="1:11" ht="28.15" customHeight="1">
      <c r="A53" s="39" t="s">
        <v>87</v>
      </c>
      <c r="B53" s="21"/>
      <c r="C53" s="21"/>
      <c r="D53" s="86">
        <f t="shared" si="11"/>
        <v>52839.871850911964</v>
      </c>
      <c r="E53" s="94">
        <f t="shared" si="12"/>
        <v>55041.5331780333</v>
      </c>
      <c r="F53" s="90">
        <f t="shared" si="13"/>
        <v>57243.194505154635</v>
      </c>
      <c r="G53" s="74">
        <f t="shared" si="13"/>
        <v>59444.855832275971</v>
      </c>
      <c r="H53" s="74">
        <f t="shared" si="13"/>
        <v>61646.517159397299</v>
      </c>
      <c r="I53" s="74">
        <f t="shared" si="13"/>
        <v>63848.178486518635</v>
      </c>
      <c r="J53" s="74">
        <f t="shared" si="13"/>
        <v>66049.839813639963</v>
      </c>
      <c r="K53" s="74">
        <f t="shared" si="13"/>
        <v>68251.501140761306</v>
      </c>
    </row>
    <row r="54" spans="1:11" ht="28.15" customHeight="1">
      <c r="A54" s="39" t="s">
        <v>33</v>
      </c>
      <c r="B54" s="21"/>
      <c r="C54" s="21"/>
      <c r="D54" s="86">
        <f t="shared" si="11"/>
        <v>64710.840258052209</v>
      </c>
      <c r="E54" s="94">
        <f t="shared" si="12"/>
        <v>67407.12526880439</v>
      </c>
      <c r="F54" s="90">
        <f t="shared" si="13"/>
        <v>70103.41027955657</v>
      </c>
      <c r="G54" s="74">
        <f t="shared" si="13"/>
        <v>72799.695290308751</v>
      </c>
      <c r="H54" s="74">
        <f t="shared" si="13"/>
        <v>75495.980301060918</v>
      </c>
      <c r="I54" s="74">
        <f t="shared" si="13"/>
        <v>78192.265311813098</v>
      </c>
      <c r="J54" s="74">
        <f t="shared" si="13"/>
        <v>80888.550322565279</v>
      </c>
      <c r="K54" s="74">
        <f t="shared" si="13"/>
        <v>83584.83533331746</v>
      </c>
    </row>
    <row r="55" spans="1:11" ht="28.15" customHeight="1">
      <c r="A55" s="39" t="s">
        <v>34</v>
      </c>
      <c r="B55" s="21"/>
      <c r="C55" s="21"/>
      <c r="D55" s="86">
        <f t="shared" si="11"/>
        <v>58626.495474392432</v>
      </c>
      <c r="E55" s="94">
        <f t="shared" si="12"/>
        <v>61069.266119158783</v>
      </c>
      <c r="F55" s="90">
        <f t="shared" si="13"/>
        <v>63512.036763925134</v>
      </c>
      <c r="G55" s="74">
        <f t="shared" si="13"/>
        <v>65954.807408691486</v>
      </c>
      <c r="H55" s="74">
        <f t="shared" si="13"/>
        <v>68397.578053457837</v>
      </c>
      <c r="I55" s="74">
        <f t="shared" si="13"/>
        <v>70840.348698224203</v>
      </c>
      <c r="J55" s="74">
        <f t="shared" si="13"/>
        <v>73283.119342990554</v>
      </c>
      <c r="K55" s="74">
        <f t="shared" si="13"/>
        <v>75725.889987756906</v>
      </c>
    </row>
    <row r="56" spans="1:11" ht="28.15" customHeight="1">
      <c r="A56" s="39" t="s">
        <v>35</v>
      </c>
      <c r="B56" s="21"/>
      <c r="C56" s="21"/>
      <c r="D56" s="86">
        <f t="shared" si="11"/>
        <v>56298.426001984</v>
      </c>
      <c r="E56" s="94">
        <f t="shared" si="12"/>
        <v>58644.193752066669</v>
      </c>
      <c r="F56" s="90">
        <f t="shared" si="13"/>
        <v>60989.961502149337</v>
      </c>
      <c r="G56" s="74">
        <f t="shared" si="13"/>
        <v>63335.729252232006</v>
      </c>
      <c r="H56" s="74">
        <f t="shared" si="13"/>
        <v>65681.497002314674</v>
      </c>
      <c r="I56" s="74">
        <f t="shared" si="13"/>
        <v>68027.264752397343</v>
      </c>
      <c r="J56" s="74">
        <f t="shared" si="13"/>
        <v>70373.032502480011</v>
      </c>
      <c r="K56" s="74">
        <f t="shared" si="13"/>
        <v>72718.80025256268</v>
      </c>
    </row>
    <row r="57" spans="1:11" ht="28.15" customHeight="1">
      <c r="A57" s="39" t="s">
        <v>36</v>
      </c>
      <c r="B57" s="21"/>
      <c r="C57" s="21"/>
      <c r="D57" s="86">
        <f t="shared" si="11"/>
        <v>60174.821328853788</v>
      </c>
      <c r="E57" s="94">
        <f t="shared" si="12"/>
        <v>62682.105550889362</v>
      </c>
      <c r="F57" s="90">
        <f t="shared" si="13"/>
        <v>65189.389772924937</v>
      </c>
      <c r="G57" s="74">
        <f t="shared" si="13"/>
        <v>67696.673994960511</v>
      </c>
      <c r="H57" s="74">
        <f t="shared" si="13"/>
        <v>70203.958216996092</v>
      </c>
      <c r="I57" s="74">
        <f t="shared" si="13"/>
        <v>72711.242439031674</v>
      </c>
      <c r="J57" s="74">
        <f t="shared" si="13"/>
        <v>75218.526661067241</v>
      </c>
      <c r="K57" s="74">
        <f t="shared" si="13"/>
        <v>77725.810883102822</v>
      </c>
    </row>
    <row r="58" spans="1:11" ht="28.15" customHeight="1" thickBot="1">
      <c r="A58" s="39" t="s">
        <v>38</v>
      </c>
      <c r="B58" s="21"/>
      <c r="C58" s="21"/>
      <c r="D58" s="86">
        <f t="shared" si="11"/>
        <v>57170.627930741772</v>
      </c>
      <c r="E58" s="96">
        <f>B20</f>
        <v>59552.737427856016</v>
      </c>
      <c r="F58" s="90">
        <f t="shared" si="13"/>
        <v>61934.846924970261</v>
      </c>
      <c r="G58" s="74">
        <f t="shared" si="13"/>
        <v>64316.956422084499</v>
      </c>
      <c r="H58" s="74">
        <f t="shared" si="13"/>
        <v>66699.065919198751</v>
      </c>
      <c r="I58" s="74">
        <f t="shared" si="13"/>
        <v>69081.175416312981</v>
      </c>
      <c r="J58" s="74">
        <f t="shared" si="13"/>
        <v>71463.284913427226</v>
      </c>
      <c r="K58" s="74">
        <f t="shared" si="13"/>
        <v>73845.39441054147</v>
      </c>
    </row>
    <row r="61" spans="1:11">
      <c r="A61" s="27" t="s">
        <v>62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s="66" customFormat="1" ht="30">
      <c r="A62" s="70">
        <v>1.0900000000000001</v>
      </c>
      <c r="B62" s="40"/>
      <c r="C62" s="40"/>
      <c r="D62" s="71" t="s">
        <v>11</v>
      </c>
      <c r="E62" s="71" t="s">
        <v>12</v>
      </c>
      <c r="F62" s="71" t="s">
        <v>13</v>
      </c>
      <c r="G62" s="71" t="s">
        <v>14</v>
      </c>
      <c r="H62" s="71" t="s">
        <v>15</v>
      </c>
      <c r="I62" s="71" t="s">
        <v>16</v>
      </c>
      <c r="J62" s="71" t="s">
        <v>17</v>
      </c>
      <c r="K62" s="71" t="s">
        <v>18</v>
      </c>
    </row>
    <row r="63" spans="1:11" s="68" customFormat="1">
      <c r="B63" s="69"/>
      <c r="C63" s="69"/>
      <c r="D63" s="75">
        <v>1.05</v>
      </c>
      <c r="E63" s="75">
        <v>1.0900000000000001</v>
      </c>
      <c r="F63" s="75">
        <v>1.1299999999999999</v>
      </c>
      <c r="G63" s="75">
        <v>1.18</v>
      </c>
      <c r="H63" s="75">
        <v>1.22</v>
      </c>
      <c r="I63" s="75">
        <v>1.26</v>
      </c>
      <c r="J63" s="75">
        <v>1.31</v>
      </c>
      <c r="K63" s="75">
        <v>1.35</v>
      </c>
    </row>
    <row r="64" spans="1:11" s="20" customFormat="1" ht="45">
      <c r="A64" s="83" t="s">
        <v>89</v>
      </c>
      <c r="B64" s="29"/>
      <c r="C64" s="29"/>
      <c r="D64" s="74">
        <f t="shared" ref="D64:K74" si="14">D$63*$E47</f>
        <v>60363.902170399808</v>
      </c>
      <c r="E64" s="74">
        <f t="shared" si="14"/>
        <v>62663.479395938848</v>
      </c>
      <c r="F64" s="74">
        <f t="shared" si="14"/>
        <v>64963.056621477881</v>
      </c>
      <c r="G64" s="74">
        <f t="shared" si="14"/>
        <v>67837.528153401683</v>
      </c>
      <c r="H64" s="74">
        <f t="shared" si="14"/>
        <v>70137.105378940731</v>
      </c>
      <c r="I64" s="74">
        <f t="shared" si="14"/>
        <v>72436.682604479764</v>
      </c>
      <c r="J64" s="74">
        <f t="shared" si="14"/>
        <v>75311.154136403566</v>
      </c>
      <c r="K64" s="74">
        <f t="shared" si="14"/>
        <v>77610.731361942613</v>
      </c>
    </row>
    <row r="65" spans="1:11" ht="30" hidden="1">
      <c r="A65" s="83" t="s">
        <v>30</v>
      </c>
      <c r="B65" s="31"/>
      <c r="C65" s="31"/>
      <c r="D65" s="63" t="e">
        <f t="shared" si="14"/>
        <v>#REF!</v>
      </c>
      <c r="E65" s="63" t="e">
        <f t="shared" si="14"/>
        <v>#REF!</v>
      </c>
      <c r="F65" s="63" t="e">
        <f t="shared" si="14"/>
        <v>#REF!</v>
      </c>
      <c r="G65" s="63" t="e">
        <f t="shared" si="14"/>
        <v>#REF!</v>
      </c>
      <c r="H65" s="63" t="e">
        <f t="shared" si="14"/>
        <v>#REF!</v>
      </c>
      <c r="I65" s="63" t="e">
        <f t="shared" si="14"/>
        <v>#REF!</v>
      </c>
      <c r="J65" s="63" t="e">
        <f t="shared" si="14"/>
        <v>#REF!</v>
      </c>
      <c r="K65" s="63" t="e">
        <f t="shared" si="14"/>
        <v>#REF!</v>
      </c>
    </row>
    <row r="66" spans="1:11" hidden="1">
      <c r="A66" s="83" t="s">
        <v>5</v>
      </c>
      <c r="B66" s="31"/>
      <c r="C66" s="31"/>
      <c r="D66" s="63" t="e">
        <f t="shared" si="14"/>
        <v>#REF!</v>
      </c>
      <c r="E66" s="63" t="e">
        <f t="shared" si="14"/>
        <v>#REF!</v>
      </c>
      <c r="F66" s="63" t="e">
        <f t="shared" si="14"/>
        <v>#REF!</v>
      </c>
      <c r="G66" s="63" t="e">
        <f t="shared" si="14"/>
        <v>#REF!</v>
      </c>
      <c r="H66" s="63" t="e">
        <f t="shared" si="14"/>
        <v>#REF!</v>
      </c>
      <c r="I66" s="63" t="e">
        <f t="shared" si="14"/>
        <v>#REF!</v>
      </c>
      <c r="J66" s="63" t="e">
        <f t="shared" si="14"/>
        <v>#REF!</v>
      </c>
      <c r="K66" s="63" t="e">
        <f t="shared" si="14"/>
        <v>#REF!</v>
      </c>
    </row>
    <row r="67" spans="1:11" ht="28.15" customHeight="1">
      <c r="A67" s="83" t="s">
        <v>6</v>
      </c>
      <c r="B67" s="21"/>
      <c r="C67" s="21"/>
      <c r="D67" s="74">
        <f t="shared" si="14"/>
        <v>58165.895191559612</v>
      </c>
      <c r="E67" s="74">
        <f t="shared" si="14"/>
        <v>60381.738817904741</v>
      </c>
      <c r="F67" s="74">
        <f t="shared" si="14"/>
        <v>62597.582444249863</v>
      </c>
      <c r="G67" s="74">
        <f t="shared" si="14"/>
        <v>65367.386977181275</v>
      </c>
      <c r="H67" s="74">
        <f t="shared" si="14"/>
        <v>67583.230603526405</v>
      </c>
      <c r="I67" s="74">
        <f t="shared" si="14"/>
        <v>69799.074229871534</v>
      </c>
      <c r="J67" s="74">
        <f t="shared" si="14"/>
        <v>72568.878762802939</v>
      </c>
      <c r="K67" s="74">
        <f t="shared" si="14"/>
        <v>74784.722389148068</v>
      </c>
    </row>
    <row r="68" spans="1:11" ht="28.15" customHeight="1">
      <c r="A68" s="83" t="s">
        <v>1</v>
      </c>
      <c r="B68" s="21"/>
      <c r="C68" s="21"/>
      <c r="D68" s="74">
        <f t="shared" si="14"/>
        <v>58647.862117831122</v>
      </c>
      <c r="E68" s="74">
        <f t="shared" si="14"/>
        <v>60882.066388986597</v>
      </c>
      <c r="F68" s="74">
        <f t="shared" si="14"/>
        <v>63116.270660142058</v>
      </c>
      <c r="G68" s="74">
        <f t="shared" si="14"/>
        <v>65909.0259990864</v>
      </c>
      <c r="H68" s="74">
        <f t="shared" si="14"/>
        <v>68143.230270241867</v>
      </c>
      <c r="I68" s="74">
        <f t="shared" si="14"/>
        <v>70377.43454139735</v>
      </c>
      <c r="J68" s="74">
        <f t="shared" si="14"/>
        <v>73170.189880341684</v>
      </c>
      <c r="K68" s="74">
        <f t="shared" si="14"/>
        <v>75404.394151497152</v>
      </c>
    </row>
    <row r="69" spans="1:11" ht="28.15" customHeight="1">
      <c r="A69" s="83" t="s">
        <v>21</v>
      </c>
      <c r="B69" s="21"/>
      <c r="C69" s="21"/>
      <c r="D69" s="74">
        <f t="shared" si="14"/>
        <v>60243.534088973414</v>
      </c>
      <c r="E69" s="74">
        <f t="shared" si="14"/>
        <v>62538.525863791445</v>
      </c>
      <c r="F69" s="74">
        <f t="shared" si="14"/>
        <v>64833.517638609468</v>
      </c>
      <c r="G69" s="74">
        <f t="shared" si="14"/>
        <v>67702.257357132024</v>
      </c>
      <c r="H69" s="74">
        <f t="shared" si="14"/>
        <v>69997.249131950055</v>
      </c>
      <c r="I69" s="74">
        <f t="shared" si="14"/>
        <v>72292.240906768086</v>
      </c>
      <c r="J69" s="74">
        <f t="shared" si="14"/>
        <v>75160.980625290642</v>
      </c>
      <c r="K69" s="74">
        <f t="shared" si="14"/>
        <v>77455.972400108672</v>
      </c>
    </row>
    <row r="70" spans="1:11" ht="28.15" customHeight="1">
      <c r="A70" s="83" t="s">
        <v>87</v>
      </c>
      <c r="B70" s="21"/>
      <c r="C70" s="21"/>
      <c r="D70" s="74">
        <f t="shared" si="14"/>
        <v>57793.609836934964</v>
      </c>
      <c r="E70" s="74">
        <f t="shared" si="14"/>
        <v>59995.271164056299</v>
      </c>
      <c r="F70" s="74">
        <f t="shared" si="14"/>
        <v>62196.93249117762</v>
      </c>
      <c r="G70" s="74">
        <f t="shared" si="14"/>
        <v>64949.009150079291</v>
      </c>
      <c r="H70" s="74">
        <f t="shared" si="14"/>
        <v>67150.67047720062</v>
      </c>
      <c r="I70" s="74">
        <f t="shared" si="14"/>
        <v>69352.331804321962</v>
      </c>
      <c r="J70" s="74">
        <f t="shared" si="14"/>
        <v>72104.408463223619</v>
      </c>
      <c r="K70" s="74">
        <f t="shared" si="14"/>
        <v>74306.069790344962</v>
      </c>
    </row>
    <row r="71" spans="1:11" ht="28.15" customHeight="1">
      <c r="A71" s="83" t="s">
        <v>33</v>
      </c>
      <c r="B71" s="21"/>
      <c r="C71" s="21"/>
      <c r="D71" s="74">
        <f t="shared" si="14"/>
        <v>70777.481532244608</v>
      </c>
      <c r="E71" s="74">
        <f t="shared" si="14"/>
        <v>73473.766542996789</v>
      </c>
      <c r="F71" s="74">
        <f t="shared" si="14"/>
        <v>76170.051553748955</v>
      </c>
      <c r="G71" s="74">
        <f t="shared" si="14"/>
        <v>79540.407817189174</v>
      </c>
      <c r="H71" s="74">
        <f t="shared" si="14"/>
        <v>82236.692827941355</v>
      </c>
      <c r="I71" s="74">
        <f t="shared" si="14"/>
        <v>84932.977838693536</v>
      </c>
      <c r="J71" s="74">
        <f t="shared" si="14"/>
        <v>88303.334102133755</v>
      </c>
      <c r="K71" s="74">
        <f t="shared" si="14"/>
        <v>90999.619112885935</v>
      </c>
    </row>
    <row r="72" spans="1:11" ht="28.15" customHeight="1">
      <c r="A72" s="83" t="s">
        <v>34</v>
      </c>
      <c r="B72" s="21"/>
      <c r="C72" s="21"/>
      <c r="D72" s="74">
        <f t="shared" si="14"/>
        <v>64122.729425116726</v>
      </c>
      <c r="E72" s="74">
        <f t="shared" si="14"/>
        <v>66565.500069883085</v>
      </c>
      <c r="F72" s="74">
        <f t="shared" si="14"/>
        <v>69008.270714649421</v>
      </c>
      <c r="G72" s="74">
        <f t="shared" si="14"/>
        <v>72061.734020607357</v>
      </c>
      <c r="H72" s="74">
        <f t="shared" si="14"/>
        <v>74504.504665373708</v>
      </c>
      <c r="I72" s="74">
        <f t="shared" si="14"/>
        <v>76947.275310140074</v>
      </c>
      <c r="J72" s="74">
        <f t="shared" si="14"/>
        <v>80000.73861609801</v>
      </c>
      <c r="K72" s="74">
        <f t="shared" si="14"/>
        <v>82443.509260864361</v>
      </c>
    </row>
    <row r="73" spans="1:11" ht="28.15" customHeight="1">
      <c r="A73" s="83" t="s">
        <v>35</v>
      </c>
      <c r="B73" s="21"/>
      <c r="C73" s="21"/>
      <c r="D73" s="74">
        <f t="shared" si="14"/>
        <v>61576.403439670008</v>
      </c>
      <c r="E73" s="74">
        <f t="shared" si="14"/>
        <v>63922.171189752677</v>
      </c>
      <c r="F73" s="74">
        <f t="shared" si="14"/>
        <v>66267.938939835323</v>
      </c>
      <c r="G73" s="74">
        <f t="shared" si="14"/>
        <v>69200.14862743867</v>
      </c>
      <c r="H73" s="74">
        <f t="shared" si="14"/>
        <v>71545.916377521338</v>
      </c>
      <c r="I73" s="74">
        <f t="shared" si="14"/>
        <v>73891.684127604007</v>
      </c>
      <c r="J73" s="74">
        <f t="shared" si="14"/>
        <v>76823.893815207339</v>
      </c>
      <c r="K73" s="74">
        <f t="shared" si="14"/>
        <v>79169.661565290007</v>
      </c>
    </row>
    <row r="74" spans="1:11" ht="28.15" customHeight="1">
      <c r="A74" s="83" t="s">
        <v>36</v>
      </c>
      <c r="B74" s="21"/>
      <c r="C74" s="21"/>
      <c r="D74" s="74">
        <f t="shared" si="14"/>
        <v>65816.210828433832</v>
      </c>
      <c r="E74" s="74">
        <f t="shared" si="14"/>
        <v>68323.495050469413</v>
      </c>
      <c r="F74" s="74">
        <f t="shared" si="14"/>
        <v>70830.779272504966</v>
      </c>
      <c r="G74" s="74">
        <f t="shared" si="14"/>
        <v>73964.88455004945</v>
      </c>
      <c r="H74" s="74">
        <f t="shared" si="14"/>
        <v>76472.168772085017</v>
      </c>
      <c r="I74" s="74">
        <f t="shared" si="14"/>
        <v>78979.452994120598</v>
      </c>
      <c r="J74" s="74">
        <f t="shared" si="14"/>
        <v>82113.558271665068</v>
      </c>
      <c r="K74" s="74">
        <f t="shared" si="14"/>
        <v>84620.842493700649</v>
      </c>
    </row>
    <row r="75" spans="1:11" ht="28.15" customHeight="1">
      <c r="A75" s="83" t="s">
        <v>38</v>
      </c>
      <c r="B75" s="21"/>
      <c r="C75" s="21"/>
      <c r="D75" s="74">
        <f t="shared" ref="D75:K75" si="15">D$63*$E58</f>
        <v>62530.374299248819</v>
      </c>
      <c r="E75" s="74">
        <f t="shared" si="15"/>
        <v>64912.483796363063</v>
      </c>
      <c r="F75" s="74">
        <f t="shared" si="15"/>
        <v>67294.593293477286</v>
      </c>
      <c r="G75" s="74">
        <f t="shared" si="15"/>
        <v>70272.230164870096</v>
      </c>
      <c r="H75" s="74">
        <f t="shared" si="15"/>
        <v>72654.339661984341</v>
      </c>
      <c r="I75" s="74">
        <f t="shared" si="15"/>
        <v>75036.449159098585</v>
      </c>
      <c r="J75" s="74">
        <f t="shared" si="15"/>
        <v>78014.08603049138</v>
      </c>
      <c r="K75" s="74">
        <f t="shared" si="15"/>
        <v>80396.195527605625</v>
      </c>
    </row>
  </sheetData>
  <pageMargins left="0.7" right="0.7" top="0.75" bottom="0.75" header="0.3" footer="0.3"/>
  <pageSetup scale="60" orientation="portrait" r:id="rId1"/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Calc of Regional Factor</vt:lpstr>
      <vt:lpstr>WAVG for TS, Cat., &amp; SS-Ref-PS</vt:lpstr>
      <vt:lpstr>AVG for FUNCTSPEC</vt:lpstr>
      <vt:lpstr>Calc of Exp Factors</vt:lpstr>
      <vt:lpstr>Combined MidPTS</vt:lpstr>
      <vt:lpstr>Examples of Salary Calculation</vt:lpstr>
      <vt:lpstr>Faculty Salary Structure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Keith,Brian W</dc:creator>
  <cp:lastModifiedBy>Windows User</cp:lastModifiedBy>
  <cp:lastPrinted>2011-07-11T18:45:59Z</cp:lastPrinted>
  <dcterms:created xsi:type="dcterms:W3CDTF">2011-05-23T14:24:35Z</dcterms:created>
  <dcterms:modified xsi:type="dcterms:W3CDTF">2012-11-12T20:38:05Z</dcterms:modified>
</cp:coreProperties>
</file>